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utente\Documents\Programmi Base Excel\"/>
    </mc:Choice>
  </mc:AlternateContent>
  <bookViews>
    <workbookView xWindow="-105" yWindow="-105" windowWidth="23250" windowHeight="12570" activeTab="1"/>
  </bookViews>
  <sheets>
    <sheet name="L'Acqua AQP" sheetId="2" r:id="rId1"/>
    <sheet name="RipartizioneAcqua (1° Trim) " sheetId="13" r:id="rId2"/>
    <sheet name="Tariffe 2022-2023" sheetId="14" r:id="rId3"/>
  </sheets>
  <externalReferences>
    <externalReference r:id="rId4"/>
  </externalReferences>
  <definedNames>
    <definedName name="\AG" localSheetId="1">#REF!</definedName>
    <definedName name="\AG" localSheetId="2">#REF!</definedName>
    <definedName name="\AG">#REF!</definedName>
    <definedName name="\AP" localSheetId="1">#REF!</definedName>
    <definedName name="\AP" localSheetId="2">#REF!</definedName>
    <definedName name="\AP">#REF!</definedName>
    <definedName name="\DI" localSheetId="1">#REF!</definedName>
    <definedName name="\DI" localSheetId="2">#REF!</definedName>
    <definedName name="\DI">#REF!</definedName>
    <definedName name="\FE" localSheetId="1">#REF!</definedName>
    <definedName name="\FE" localSheetId="2">#REF!</definedName>
    <definedName name="\FE">#REF!</definedName>
    <definedName name="\GI" localSheetId="1">#REF!</definedName>
    <definedName name="\GI" localSheetId="2">#REF!</definedName>
    <definedName name="\GI">#REF!</definedName>
    <definedName name="\LU" localSheetId="1">#REF!</definedName>
    <definedName name="\LU" localSheetId="2">#REF!</definedName>
    <definedName name="\LU">#REF!</definedName>
    <definedName name="\MA" localSheetId="1">#REF!</definedName>
    <definedName name="\MA" localSheetId="2">#REF!</definedName>
    <definedName name="\MA">#REF!</definedName>
    <definedName name="\MAG" localSheetId="1">#REF!</definedName>
    <definedName name="\MAG" localSheetId="2">#REF!</definedName>
    <definedName name="\MAG">#REF!</definedName>
    <definedName name="\NO" localSheetId="1">#REF!</definedName>
    <definedName name="\NO" localSheetId="2">#REF!</definedName>
    <definedName name="\NO">#REF!</definedName>
    <definedName name="\SE" localSheetId="1">#REF!</definedName>
    <definedName name="\SE" localSheetId="2">#REF!</definedName>
    <definedName name="\SE">#REF!</definedName>
    <definedName name="_xlnm.Print_Area" localSheetId="0">'L''Acqua AQP'!$A$1:$Q$49</definedName>
    <definedName name="_xlnm.Print_Area" localSheetId="1">'RipartizioneAcqua (1° Trim) '!$B$48:$Y$85</definedName>
    <definedName name="Area_stampa_MI">#REF!</definedName>
    <definedName name="Autore">"Questo documento è stato creato da Enea PIVA in Italia"</definedName>
    <definedName name="Clienti" localSheetId="1">'RipartizioneAcqua (1° Trim) '!$B$54:$C$80</definedName>
    <definedName name="Condomini" localSheetId="1">'RipartizioneAcqua (1° Trim) '!$B$54:$C$80</definedName>
    <definedName name="ConsumoAqp" localSheetId="1">'RipartizioneAcqua (1° Trim) '!$J$46</definedName>
    <definedName name="ConsumoTotaleAccertato" localSheetId="1">'RipartizioneAcqua (1° Trim) '!$G$83</definedName>
    <definedName name="CubaturaAgevolata" localSheetId="1">'RipartizioneAcqua (1° Trim) '!#REF!</definedName>
    <definedName name="CubaturaBase" localSheetId="1">'RipartizioneAcqua (1° Trim) '!#REF!</definedName>
    <definedName name="DataLettura" localSheetId="1">'RipartizioneAcqua (1° Trim) '!$G$44</definedName>
    <definedName name="DataLetturaPrecedente" localSheetId="1">'RipartizioneAcqua (1° Trim) '!$G$45</definedName>
    <definedName name="EngAutore">"Excel document created by Enea PIVA in Italy"</definedName>
    <definedName name="GiorniAqp" localSheetId="1">'RipartizioneAcqua (1° Trim) '!$G$46</definedName>
    <definedName name="Lettura" localSheetId="1">'RipartizioneAcqua (1° Trim) '!$J$44</definedName>
    <definedName name="LetturaPrecedente" localSheetId="1">'RipartizioneAcqua (1° Trim) '!$J$45</definedName>
    <definedName name="Nclienti" localSheetId="1">'RipartizioneAcqua (1° Trim) '!$N$44</definedName>
    <definedName name="QualitaRevisioneData">"05-06-2020"</definedName>
    <definedName name="QualitaRevisioneNum">1</definedName>
    <definedName name="TariffaAgevolata" localSheetId="1">'RipartizioneAcqua (1° Trim) '!$P$11</definedName>
    <definedName name="TariffaBase" localSheetId="1">'RipartizioneAcqua (1° Trim) '!$P$12</definedName>
    <definedName name="TariffaBaseMedia" localSheetId="1">'RipartizioneAcqua (1° Trim) '!$P$13</definedName>
    <definedName name="TariffaEccedenza" localSheetId="1">'RipartizioneAcqua (1° Trim) '!$P$14</definedName>
    <definedName name="TariffaEccedenza3" localSheetId="1">'RipartizioneAcqua (1° Trim) '!$P$15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3" l="1"/>
  <c r="E26" i="13"/>
  <c r="E25" i="13"/>
  <c r="E24" i="13"/>
  <c r="E32" i="13"/>
  <c r="E31" i="13"/>
  <c r="E30" i="13"/>
  <c r="V121" i="13" l="1"/>
  <c r="U121" i="13"/>
  <c r="V119" i="13"/>
  <c r="U119" i="13"/>
  <c r="V117" i="13"/>
  <c r="U117" i="13"/>
  <c r="S122" i="13"/>
  <c r="S121" i="13"/>
  <c r="S119" i="13"/>
  <c r="S117" i="13"/>
  <c r="S115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54" i="13"/>
  <c r="G45" i="13" l="1"/>
  <c r="J45" i="13"/>
  <c r="E80" i="13"/>
  <c r="D57" i="13"/>
  <c r="G44" i="13"/>
  <c r="I8" i="13"/>
  <c r="I113" i="13" l="1"/>
  <c r="I112" i="13"/>
  <c r="L113" i="13"/>
  <c r="L112" i="13"/>
  <c r="J112" i="13"/>
  <c r="H113" i="13"/>
  <c r="H112" i="13"/>
  <c r="K105" i="13"/>
  <c r="K104" i="13"/>
  <c r="K103" i="13"/>
  <c r="K102" i="13"/>
  <c r="G46" i="13" l="1"/>
  <c r="S53" i="13" l="1"/>
  <c r="R53" i="13" l="1"/>
  <c r="J89" i="13" l="1"/>
  <c r="V122" i="13" s="1"/>
  <c r="Q94" i="13"/>
  <c r="Q93" i="13"/>
  <c r="Q92" i="13"/>
  <c r="Q91" i="13"/>
  <c r="K112" i="13" l="1"/>
  <c r="N112" i="13" s="1"/>
  <c r="O11" i="13" s="1"/>
  <c r="K113" i="13"/>
  <c r="N113" i="13" s="1"/>
  <c r="O12" i="13" s="1"/>
  <c r="H103" i="13"/>
  <c r="H105" i="13"/>
  <c r="L103" i="13"/>
  <c r="N52" i="13" s="1"/>
  <c r="L105" i="13"/>
  <c r="P52" i="13" s="1"/>
  <c r="H104" i="13"/>
  <c r="H102" i="13"/>
  <c r="L104" i="13"/>
  <c r="O52" i="13" s="1"/>
  <c r="L102" i="13"/>
  <c r="M52" i="13" s="1"/>
  <c r="G94" i="13" l="1"/>
  <c r="G91" i="13"/>
  <c r="G93" i="13"/>
  <c r="G92" i="13"/>
  <c r="J44" i="13" l="1"/>
  <c r="Q53" i="13" l="1"/>
  <c r="V52" i="13" l="1"/>
  <c r="N44" i="13"/>
  <c r="V56" i="13" s="1"/>
  <c r="V54" i="13" l="1"/>
  <c r="V79" i="13"/>
  <c r="V77" i="13"/>
  <c r="V75" i="13"/>
  <c r="V73" i="13"/>
  <c r="V71" i="13"/>
  <c r="V69" i="13"/>
  <c r="V67" i="13"/>
  <c r="V65" i="13"/>
  <c r="V63" i="13"/>
  <c r="V61" i="13"/>
  <c r="V59" i="13"/>
  <c r="V57" i="13"/>
  <c r="V55" i="13"/>
  <c r="V80" i="13"/>
  <c r="V78" i="13"/>
  <c r="V76" i="13"/>
  <c r="V74" i="13"/>
  <c r="V72" i="13"/>
  <c r="V70" i="13"/>
  <c r="V68" i="13"/>
  <c r="V66" i="13"/>
  <c r="V64" i="13"/>
  <c r="V62" i="13"/>
  <c r="V60" i="13"/>
  <c r="V58" i="13"/>
  <c r="G80" i="13" l="1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P53" i="13"/>
  <c r="O53" i="13"/>
  <c r="N53" i="13"/>
  <c r="M53" i="13"/>
  <c r="K53" i="13"/>
  <c r="E50" i="13"/>
  <c r="D50" i="13"/>
  <c r="J46" i="13"/>
  <c r="M116" i="13" s="1"/>
  <c r="N114" i="13" s="1"/>
  <c r="B41" i="13"/>
  <c r="Q15" i="13"/>
  <c r="H15" i="13"/>
  <c r="O14" i="13"/>
  <c r="Q14" i="13" s="1"/>
  <c r="H14" i="13"/>
  <c r="H13" i="13"/>
  <c r="Q8" i="13"/>
  <c r="S8" i="13" s="1"/>
  <c r="O8" i="13"/>
  <c r="E8" i="13"/>
  <c r="C2" i="13"/>
  <c r="N117" i="13" l="1"/>
  <c r="O13" i="13"/>
  <c r="Q13" i="13" s="1"/>
  <c r="O31" i="13"/>
  <c r="Q31" i="13" s="1"/>
  <c r="U14" i="13"/>
  <c r="Y4" i="13"/>
  <c r="K8" i="13"/>
  <c r="B83" i="13"/>
  <c r="Y3" i="13"/>
  <c r="O23" i="13"/>
  <c r="Q23" i="13" s="1"/>
  <c r="O25" i="13"/>
  <c r="Q25" i="13" s="1"/>
  <c r="O26" i="13"/>
  <c r="Q26" i="13" s="1"/>
  <c r="O28" i="13"/>
  <c r="Q28" i="13" s="1"/>
  <c r="O30" i="13"/>
  <c r="Q30" i="13" s="1"/>
  <c r="O32" i="13"/>
  <c r="Q32" i="13" s="1"/>
  <c r="O19" i="13"/>
  <c r="Q19" i="13" s="1"/>
  <c r="H25" i="13"/>
  <c r="E28" i="13"/>
  <c r="H28" i="13" s="1"/>
  <c r="E19" i="13"/>
  <c r="H19" i="13" s="1"/>
  <c r="E23" i="13"/>
  <c r="H23" i="13" s="1"/>
  <c r="H26" i="13"/>
  <c r="H30" i="13"/>
  <c r="E16" i="13"/>
  <c r="H16" i="13" s="1"/>
  <c r="E18" i="13"/>
  <c r="H18" i="13" s="1"/>
  <c r="O16" i="13"/>
  <c r="Q16" i="13" s="1"/>
  <c r="O18" i="13"/>
  <c r="Q18" i="13" s="1"/>
  <c r="O17" i="13"/>
  <c r="Q17" i="13" s="1"/>
  <c r="E17" i="13"/>
  <c r="H17" i="13" s="1"/>
  <c r="S79" i="13"/>
  <c r="S77" i="13"/>
  <c r="S75" i="13"/>
  <c r="S73" i="13"/>
  <c r="S80" i="13"/>
  <c r="S76" i="13"/>
  <c r="S72" i="13"/>
  <c r="S70" i="13"/>
  <c r="S68" i="13"/>
  <c r="S67" i="13"/>
  <c r="S66" i="13"/>
  <c r="S65" i="13"/>
  <c r="S64" i="13"/>
  <c r="S63" i="13"/>
  <c r="S62" i="13"/>
  <c r="S61" i="13"/>
  <c r="S59" i="13"/>
  <c r="S57" i="13"/>
  <c r="S55" i="13"/>
  <c r="S71" i="13"/>
  <c r="S78" i="13"/>
  <c r="E20" i="13"/>
  <c r="H20" i="13" s="1"/>
  <c r="O20" i="13"/>
  <c r="Q20" i="13" s="1"/>
  <c r="E21" i="13"/>
  <c r="H21" i="13" s="1"/>
  <c r="O21" i="13"/>
  <c r="Q21" i="13" s="1"/>
  <c r="E22" i="13"/>
  <c r="H22" i="13" s="1"/>
  <c r="O22" i="13"/>
  <c r="Q22" i="13" s="1"/>
  <c r="H24" i="13"/>
  <c r="O24" i="13"/>
  <c r="Q24" i="13" s="1"/>
  <c r="H27" i="13"/>
  <c r="O27" i="13"/>
  <c r="Q27" i="13" s="1"/>
  <c r="E29" i="13"/>
  <c r="H29" i="13" s="1"/>
  <c r="O29" i="13"/>
  <c r="Q29" i="13" s="1"/>
  <c r="H31" i="13"/>
  <c r="H32" i="13"/>
  <c r="G83" i="13"/>
  <c r="I60" i="13" s="1"/>
  <c r="S54" i="13"/>
  <c r="S56" i="13"/>
  <c r="S58" i="13"/>
  <c r="S60" i="13"/>
  <c r="S69" i="13"/>
  <c r="S74" i="13"/>
  <c r="Q60" i="13" l="1"/>
  <c r="L60" i="13"/>
  <c r="M60" i="13"/>
  <c r="N60" i="13" s="1"/>
  <c r="O60" i="13" s="1"/>
  <c r="P60" i="13" s="1"/>
  <c r="I75" i="13"/>
  <c r="I56" i="13"/>
  <c r="I72" i="13"/>
  <c r="I79" i="13"/>
  <c r="I78" i="13"/>
  <c r="I80" i="13"/>
  <c r="I71" i="13"/>
  <c r="Y5" i="13"/>
  <c r="R60" i="13"/>
  <c r="J60" i="13"/>
  <c r="K60" i="13" s="1"/>
  <c r="I67" i="13"/>
  <c r="I65" i="13"/>
  <c r="I63" i="13"/>
  <c r="I61" i="13"/>
  <c r="I68" i="13"/>
  <c r="I66" i="13"/>
  <c r="I64" i="13"/>
  <c r="I62" i="13"/>
  <c r="I59" i="13"/>
  <c r="I57" i="13"/>
  <c r="I54" i="13"/>
  <c r="K32" i="13"/>
  <c r="V83" i="13"/>
  <c r="I77" i="13"/>
  <c r="I73" i="13"/>
  <c r="I74" i="13"/>
  <c r="I70" i="13"/>
  <c r="I58" i="13"/>
  <c r="S83" i="13"/>
  <c r="R32" i="13"/>
  <c r="I76" i="13"/>
  <c r="I69" i="13"/>
  <c r="I55" i="13"/>
  <c r="U120" i="13" l="1"/>
  <c r="U118" i="13"/>
  <c r="U116" i="13"/>
  <c r="W114" i="13" s="1"/>
  <c r="U114" i="13"/>
  <c r="V120" i="13"/>
  <c r="W120" i="13" s="1"/>
  <c r="W122" i="13" s="1"/>
  <c r="V118" i="13"/>
  <c r="W118" i="13" s="1"/>
  <c r="V116" i="13"/>
  <c r="W116" i="13" s="1"/>
  <c r="V114" i="13"/>
  <c r="L55" i="13"/>
  <c r="M55" i="13"/>
  <c r="N55" i="13" s="1"/>
  <c r="O55" i="13" s="1"/>
  <c r="Q55" i="13"/>
  <c r="M76" i="13"/>
  <c r="N76" i="13" s="1"/>
  <c r="O76" i="13" s="1"/>
  <c r="P76" i="13" s="1"/>
  <c r="Q76" i="13"/>
  <c r="L76" i="13"/>
  <c r="Q70" i="13"/>
  <c r="L70" i="13"/>
  <c r="M70" i="13"/>
  <c r="N70" i="13" s="1"/>
  <c r="O70" i="13" s="1"/>
  <c r="P70" i="13" s="1"/>
  <c r="L73" i="13"/>
  <c r="M73" i="13"/>
  <c r="N73" i="13" s="1"/>
  <c r="O73" i="13" s="1"/>
  <c r="P73" i="13" s="1"/>
  <c r="Q73" i="13"/>
  <c r="L57" i="13"/>
  <c r="M57" i="13"/>
  <c r="N57" i="13" s="1"/>
  <c r="Q62" i="13"/>
  <c r="L62" i="13"/>
  <c r="M62" i="13"/>
  <c r="N62" i="13" s="1"/>
  <c r="O62" i="13" s="1"/>
  <c r="M66" i="13"/>
  <c r="N66" i="13" s="1"/>
  <c r="Q66" i="13"/>
  <c r="L66" i="13"/>
  <c r="L61" i="13"/>
  <c r="Q61" i="13"/>
  <c r="M61" i="13"/>
  <c r="N61" i="13" s="1"/>
  <c r="O61" i="13" s="1"/>
  <c r="P61" i="13" s="1"/>
  <c r="L65" i="13"/>
  <c r="M65" i="13"/>
  <c r="Q65" i="13"/>
  <c r="L71" i="13"/>
  <c r="M71" i="13"/>
  <c r="N71" i="13" s="1"/>
  <c r="O71" i="13" s="1"/>
  <c r="P71" i="13" s="1"/>
  <c r="Q71" i="13"/>
  <c r="Q78" i="13"/>
  <c r="L78" i="13"/>
  <c r="M78" i="13"/>
  <c r="N78" i="13" s="1"/>
  <c r="O78" i="13" s="1"/>
  <c r="M72" i="13"/>
  <c r="N72" i="13" s="1"/>
  <c r="O72" i="13" s="1"/>
  <c r="L72" i="13"/>
  <c r="Q72" i="13"/>
  <c r="L75" i="13"/>
  <c r="Q75" i="13"/>
  <c r="M75" i="13"/>
  <c r="N75" i="13" s="1"/>
  <c r="O75" i="13" s="1"/>
  <c r="P75" i="13" s="1"/>
  <c r="L69" i="13"/>
  <c r="Q69" i="13"/>
  <c r="M69" i="13"/>
  <c r="N69" i="13" s="1"/>
  <c r="O69" i="13" s="1"/>
  <c r="P69" i="13" s="1"/>
  <c r="L58" i="13"/>
  <c r="M58" i="13"/>
  <c r="N58" i="13" s="1"/>
  <c r="Q58" i="13"/>
  <c r="M74" i="13"/>
  <c r="N74" i="13" s="1"/>
  <c r="O74" i="13" s="1"/>
  <c r="P74" i="13" s="1"/>
  <c r="Q74" i="13"/>
  <c r="L74" i="13"/>
  <c r="L77" i="13"/>
  <c r="Q77" i="13"/>
  <c r="M77" i="13"/>
  <c r="N77" i="13" s="1"/>
  <c r="O77" i="13" s="1"/>
  <c r="P77" i="13" s="1"/>
  <c r="L54" i="13"/>
  <c r="Q54" i="13"/>
  <c r="M54" i="13"/>
  <c r="N54" i="13" s="1"/>
  <c r="L59" i="13"/>
  <c r="M59" i="13"/>
  <c r="Q59" i="13"/>
  <c r="N59" i="13"/>
  <c r="O59" i="13" s="1"/>
  <c r="P59" i="13" s="1"/>
  <c r="M64" i="13"/>
  <c r="L64" i="13"/>
  <c r="N64" i="13"/>
  <c r="O64" i="13" s="1"/>
  <c r="P64" i="13" s="1"/>
  <c r="Q64" i="13"/>
  <c r="M68" i="13"/>
  <c r="N68" i="13" s="1"/>
  <c r="L68" i="13"/>
  <c r="L63" i="13"/>
  <c r="M63" i="13"/>
  <c r="N63" i="13" s="1"/>
  <c r="O63" i="13" s="1"/>
  <c r="P63" i="13" s="1"/>
  <c r="Q63" i="13"/>
  <c r="L67" i="13"/>
  <c r="Q67" i="13"/>
  <c r="M67" i="13"/>
  <c r="N67" i="13" s="1"/>
  <c r="O67" i="13" s="1"/>
  <c r="P67" i="13" s="1"/>
  <c r="M80" i="13"/>
  <c r="N80" i="13" s="1"/>
  <c r="L80" i="13"/>
  <c r="L79" i="13"/>
  <c r="M79" i="13"/>
  <c r="N79" i="13" s="1"/>
  <c r="O79" i="13" s="1"/>
  <c r="P79" i="13" s="1"/>
  <c r="Q79" i="13"/>
  <c r="M56" i="13"/>
  <c r="N56" i="13" s="1"/>
  <c r="Q56" i="13"/>
  <c r="L56" i="13"/>
  <c r="R75" i="13"/>
  <c r="J75" i="13"/>
  <c r="K75" i="13" s="1"/>
  <c r="J56" i="13"/>
  <c r="K56" i="13" s="1"/>
  <c r="R56" i="13"/>
  <c r="R72" i="13"/>
  <c r="J72" i="13"/>
  <c r="K72" i="13" s="1"/>
  <c r="R80" i="13"/>
  <c r="J80" i="13"/>
  <c r="K80" i="13" s="1"/>
  <c r="J79" i="13"/>
  <c r="K79" i="13" s="1"/>
  <c r="R79" i="13"/>
  <c r="R71" i="13"/>
  <c r="R78" i="13"/>
  <c r="J71" i="13"/>
  <c r="K71" i="13" s="1"/>
  <c r="J78" i="13"/>
  <c r="K78" i="13" s="1"/>
  <c r="R69" i="13"/>
  <c r="J69" i="13"/>
  <c r="K69" i="13" s="1"/>
  <c r="R58" i="13"/>
  <c r="J58" i="13"/>
  <c r="K58" i="13" s="1"/>
  <c r="R74" i="13"/>
  <c r="J74" i="13"/>
  <c r="K74" i="13" s="1"/>
  <c r="R77" i="13"/>
  <c r="J77" i="13"/>
  <c r="K77" i="13" s="1"/>
  <c r="R57" i="13"/>
  <c r="J57" i="13"/>
  <c r="K57" i="13" s="1"/>
  <c r="R62" i="13"/>
  <c r="J62" i="13"/>
  <c r="K62" i="13" s="1"/>
  <c r="R66" i="13"/>
  <c r="J66" i="13"/>
  <c r="K66" i="13" s="1"/>
  <c r="R61" i="13"/>
  <c r="J61" i="13"/>
  <c r="K61" i="13" s="1"/>
  <c r="R65" i="13"/>
  <c r="J65" i="13"/>
  <c r="K65" i="13" s="1"/>
  <c r="Q11" i="13"/>
  <c r="R55" i="13"/>
  <c r="J55" i="13"/>
  <c r="K55" i="13" s="1"/>
  <c r="R76" i="13"/>
  <c r="J76" i="13"/>
  <c r="K76" i="13" s="1"/>
  <c r="R70" i="13"/>
  <c r="J70" i="13"/>
  <c r="K70" i="13" s="1"/>
  <c r="R73" i="13"/>
  <c r="J73" i="13"/>
  <c r="K73" i="13" s="1"/>
  <c r="E11" i="13"/>
  <c r="H11" i="13" s="1"/>
  <c r="I83" i="13"/>
  <c r="R54" i="13"/>
  <c r="J54" i="13"/>
  <c r="R59" i="13"/>
  <c r="J59" i="13"/>
  <c r="K59" i="13" s="1"/>
  <c r="R64" i="13"/>
  <c r="J64" i="13"/>
  <c r="K64" i="13" s="1"/>
  <c r="J68" i="13"/>
  <c r="K68" i="13" s="1"/>
  <c r="R68" i="13"/>
  <c r="R63" i="13"/>
  <c r="J63" i="13"/>
  <c r="K63" i="13" s="1"/>
  <c r="R67" i="13"/>
  <c r="J67" i="13"/>
  <c r="K67" i="13" s="1"/>
  <c r="O80" i="13" l="1"/>
  <c r="N65" i="13"/>
  <c r="O65" i="13" s="1"/>
  <c r="P65" i="13" s="1"/>
  <c r="O54" i="13"/>
  <c r="P54" i="13" s="1"/>
  <c r="O58" i="13"/>
  <c r="P58" i="13" s="1"/>
  <c r="O56" i="13"/>
  <c r="P56" i="13" s="1"/>
  <c r="O66" i="13"/>
  <c r="P66" i="13" s="1"/>
  <c r="P72" i="13"/>
  <c r="P78" i="13"/>
  <c r="P62" i="13"/>
  <c r="P55" i="13"/>
  <c r="J83" i="13"/>
  <c r="K54" i="13"/>
  <c r="K83" i="13" s="1"/>
  <c r="R83" i="13"/>
  <c r="P80" i="13" l="1"/>
  <c r="Q80" i="13"/>
  <c r="O68" i="13"/>
  <c r="O57" i="13"/>
  <c r="E12" i="13"/>
  <c r="H12" i="13" s="1"/>
  <c r="H33" i="13" s="1"/>
  <c r="P57" i="13" l="1"/>
  <c r="Q57" i="13"/>
  <c r="P68" i="13"/>
  <c r="Q68" i="13"/>
  <c r="H34" i="13"/>
  <c r="H35" i="13" s="1"/>
  <c r="Q12" i="13"/>
  <c r="Q33" i="13" s="1"/>
  <c r="Q34" i="13" l="1"/>
  <c r="Q35" i="13" l="1"/>
  <c r="H107" i="13" l="1"/>
  <c r="H47" i="13"/>
  <c r="Y6" i="13"/>
  <c r="M83" i="13" l="1"/>
  <c r="N102" i="13" s="1"/>
  <c r="Q83" i="13"/>
  <c r="N106" i="13" s="1"/>
  <c r="T54" i="13"/>
  <c r="U54" i="13" l="1"/>
  <c r="W54" i="13" l="1"/>
  <c r="N83" i="13"/>
  <c r="N103" i="13" s="1"/>
  <c r="T71" i="13"/>
  <c r="T80" i="13"/>
  <c r="U80" i="13" s="1"/>
  <c r="W80" i="13" s="1"/>
  <c r="T57" i="13"/>
  <c r="U57" i="13" s="1"/>
  <c r="T72" i="13"/>
  <c r="U72" i="13" s="1"/>
  <c r="P83" i="13"/>
  <c r="N105" i="13" s="1"/>
  <c r="O83" i="13"/>
  <c r="N104" i="13" s="1"/>
  <c r="T59" i="13"/>
  <c r="U59" i="13" s="1"/>
  <c r="W59" i="13" s="1"/>
  <c r="T74" i="13"/>
  <c r="T79" i="13"/>
  <c r="U79" i="13" s="1"/>
  <c r="T68" i="13"/>
  <c r="U68" i="13" s="1"/>
  <c r="T75" i="13"/>
  <c r="U75" i="13" s="1"/>
  <c r="W75" i="13" s="1"/>
  <c r="T77" i="13"/>
  <c r="T62" i="13"/>
  <c r="T70" i="13"/>
  <c r="U70" i="13" s="1"/>
  <c r="W70" i="13" s="1"/>
  <c r="T65" i="13"/>
  <c r="T69" i="13"/>
  <c r="T58" i="13"/>
  <c r="U58" i="13" s="1"/>
  <c r="W58" i="13" s="1"/>
  <c r="T76" i="13"/>
  <c r="T67" i="13"/>
  <c r="U67" i="13" s="1"/>
  <c r="T63" i="13"/>
  <c r="U63" i="13" s="1"/>
  <c r="T66" i="13"/>
  <c r="U66" i="13" s="1"/>
  <c r="W66" i="13" s="1"/>
  <c r="T61" i="13"/>
  <c r="U61" i="13" s="1"/>
  <c r="T64" i="13"/>
  <c r="U64" i="13" s="1"/>
  <c r="T60" i="13"/>
  <c r="U60" i="13" s="1"/>
  <c r="T73" i="13"/>
  <c r="U73" i="13" s="1"/>
  <c r="W73" i="13" s="1"/>
  <c r="T56" i="13"/>
  <c r="T78" i="13"/>
  <c r="U78" i="13" s="1"/>
  <c r="W78" i="13" s="1"/>
  <c r="T55" i="13"/>
  <c r="T83" i="13" l="1"/>
  <c r="W61" i="13"/>
  <c r="W79" i="13"/>
  <c r="U65" i="13"/>
  <c r="W65" i="13" s="1"/>
  <c r="N107" i="13"/>
  <c r="W67" i="13"/>
  <c r="W57" i="13"/>
  <c r="U74" i="13"/>
  <c r="W74" i="13" s="1"/>
  <c r="U56" i="13"/>
  <c r="W56" i="13" s="1"/>
  <c r="U76" i="13"/>
  <c r="W76" i="13" s="1"/>
  <c r="U71" i="13"/>
  <c r="W71" i="13" s="1"/>
  <c r="U62" i="13"/>
  <c r="W62" i="13" s="1"/>
  <c r="U69" i="13"/>
  <c r="W69" i="13" s="1"/>
  <c r="U55" i="13"/>
  <c r="W60" i="13"/>
  <c r="W64" i="13"/>
  <c r="W63" i="13"/>
  <c r="U77" i="13"/>
  <c r="W77" i="13" s="1"/>
  <c r="W68" i="13"/>
  <c r="W72" i="13"/>
  <c r="U83" i="13" l="1"/>
  <c r="W55" i="13"/>
  <c r="W82" i="13" l="1"/>
  <c r="J107" i="13" s="1"/>
  <c r="L107" i="13" s="1"/>
  <c r="W52" i="13" l="1"/>
  <c r="Q39" i="13"/>
  <c r="S12" i="13" s="1"/>
  <c r="X61" i="13" l="1"/>
  <c r="Y61" i="13" s="1"/>
  <c r="X67" i="13"/>
  <c r="Y67" i="13" s="1"/>
  <c r="X63" i="13"/>
  <c r="Y63" i="13" s="1"/>
  <c r="X74" i="13"/>
  <c r="Y74" i="13" s="1"/>
  <c r="X79" i="13"/>
  <c r="Y79" i="13" s="1"/>
  <c r="X73" i="13"/>
  <c r="Y73" i="13" s="1"/>
  <c r="X75" i="13"/>
  <c r="Y75" i="13" s="1"/>
  <c r="X78" i="13"/>
  <c r="Y78" i="13" s="1"/>
  <c r="X72" i="13"/>
  <c r="Y72" i="13" s="1"/>
  <c r="X58" i="13"/>
  <c r="Y58" i="13" s="1"/>
  <c r="X64" i="13"/>
  <c r="Y64" i="13" s="1"/>
  <c r="X59" i="13"/>
  <c r="Y59" i="13" s="1"/>
  <c r="X65" i="13"/>
  <c r="Y65" i="13" s="1"/>
  <c r="X54" i="13"/>
  <c r="X77" i="13"/>
  <c r="Y77" i="13" s="1"/>
  <c r="X62" i="13"/>
  <c r="Y62" i="13" s="1"/>
  <c r="X80" i="13"/>
  <c r="Y80" i="13" s="1"/>
  <c r="X60" i="13"/>
  <c r="Y60" i="13" s="1"/>
  <c r="X55" i="13"/>
  <c r="Y55" i="13" s="1"/>
  <c r="X70" i="13"/>
  <c r="Y70" i="13" s="1"/>
  <c r="X68" i="13"/>
  <c r="Y68" i="13" s="1"/>
  <c r="X71" i="13"/>
  <c r="Y71" i="13" s="1"/>
  <c r="X69" i="13"/>
  <c r="Y69" i="13" s="1"/>
  <c r="X76" i="13"/>
  <c r="Y76" i="13" s="1"/>
  <c r="X56" i="13"/>
  <c r="Y56" i="13" s="1"/>
  <c r="X66" i="13"/>
  <c r="Y66" i="13" s="1"/>
  <c r="X57" i="13"/>
  <c r="Y57" i="13" s="1"/>
  <c r="X82" i="13" l="1"/>
  <c r="Y54" i="13"/>
  <c r="Y82" i="13" s="1"/>
  <c r="Q37" i="13" l="1"/>
  <c r="Y52" i="13"/>
</calcChain>
</file>

<file path=xl/comments1.xml><?xml version="1.0" encoding="utf-8"?>
<comments xmlns="http://schemas.openxmlformats.org/spreadsheetml/2006/main">
  <authors>
    <author>utente</author>
    <author>DK-PC</author>
  </authors>
  <commentList>
    <comment ref="S12" authorId="0" shapeId="0">
      <text>
        <r>
          <rPr>
            <sz val="9"/>
            <color indexed="81"/>
            <rFont val="Tahoma"/>
            <family val="2"/>
          </rPr>
          <t>Adeguamento da dividere fra gli utenti in base alle Percentuali sui Consumi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Data Lettura 18/06/2022
2595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17/09/2022
2614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18/06/2022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10/09/2022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20/06/2022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10/09/2022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Addebitato 3 m³ consumo Box  88 2° Trim  85 1° Trim Differenza 3 m³ Lettura 6385 più 3 uguale 6388
Data Lettura 17/06/2022
      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17/09/2022
6441 aggiunto 6 m³ del Box era 88 attuale 94 Totale 6447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23/06/2022
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16/09/2022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Lettuta del 23/06/2017 69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18/06/2022
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10/09/2022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14/06/2021 33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23/03/2015 16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24/06/2022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19/09/2022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12/03/2022 1652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19/9/2022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13/06/2022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7/09/2022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16/06/2022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8/09/2022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20/06/2022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19/09/2022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23/06/2022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20/09/2022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del18/12/2021 116
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21/01/2016 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18/12/2020 1316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9/06/2018 67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9/06/2018 59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20/06/2022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12/09/2022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15/06/2022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10/09/2022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del29/06/2022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21/09/2022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Lettua del 23/06/2022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7/09/2022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Lettua del
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2/10/2022 inviato foto Lorenzo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11/06/2022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10/09/2022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29/06/2022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Lettura del 22/09/2022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2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 Light"/>
            <family val="1"/>
            <scheme val="major"/>
          </rPr>
          <t>spettanza Giorni Fascia  agevolata
sistema 1 modulo
vedi prog 2</t>
        </r>
      </text>
    </comment>
    <comment ref="K102" authorId="1" shapeId="0">
      <text>
        <r>
          <rPr>
            <b/>
            <sz val="12"/>
            <color indexed="81"/>
            <rFont val="Calibri Light"/>
            <family val="1"/>
            <scheme val="major"/>
          </rPr>
          <t xml:space="preserve">
Spettanza anno Fascia agevolata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2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 Light"/>
            <family val="1"/>
            <scheme val="major"/>
          </rPr>
          <t>spettanza Giorni Fascia  agevolata
sistema multi_modulo
vedi prog 1</t>
        </r>
      </text>
    </comment>
    <comment ref="M102" authorId="1" shapeId="0">
      <text>
        <r>
          <rPr>
            <b/>
            <sz val="12"/>
            <color indexed="81"/>
            <rFont val="Calibri Light"/>
            <family val="1"/>
            <scheme val="major"/>
          </rPr>
          <t xml:space="preserve">COMPENSAZIONI FASCE M³
Con il metodo di programmazione multi_moduli in condominio per aggiornare lo smistamento  dei  consumi nelle 5 colonne a Fasce  uguale come quelli elencate in fattura operare come segue :
Aumentare progressivamente il valore numerico  sulle  caselle J52-K52-L52- M52-N52  utilizzando dopo la virgola anche i decimi  centesimi e millesimi  in modo da portare sugli stessi valori i consumi delle 5 fasce tra fattura e programma visibile sulle caselle 
J84 -  K84 -  L84 - M84 - N84
</t>
        </r>
      </text>
    </comment>
    <comment ref="H103" authorId="1" shapeId="0">
      <text>
        <r>
          <rPr>
            <b/>
            <sz val="12"/>
            <color indexed="81"/>
            <rFont val="Calibri Light"/>
            <family val="1"/>
            <scheme val="major"/>
          </rPr>
          <t xml:space="preserve">
spettanza Giorni 
Fascia Base
sistema 1 modulo
vedi prog 2
</t>
        </r>
      </text>
    </comment>
    <comment ref="K103" authorId="1" shapeId="0">
      <text>
        <r>
          <rPr>
            <b/>
            <sz val="12"/>
            <color indexed="81"/>
            <rFont val="Calibri Light"/>
            <family val="1"/>
            <scheme val="major"/>
          </rPr>
          <t xml:space="preserve">
Spettanza anno Fascia   base
</t>
        </r>
      </text>
    </comment>
    <comment ref="L103" authorId="1" shapeId="0">
      <text>
        <r>
          <rPr>
            <b/>
            <sz val="12"/>
            <color indexed="81"/>
            <rFont val="Calibri Light"/>
            <family val="1"/>
            <scheme val="major"/>
          </rPr>
          <t xml:space="preserve">
spettanza Giorni 
Fascia Base
sistema multi_modulo
vedi prog 1</t>
        </r>
      </text>
    </comment>
    <comment ref="H104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 Light"/>
            <family val="1"/>
            <scheme val="major"/>
          </rPr>
          <t xml:space="preserve">spettanza Giorni 
Fascia uno
sistema 1 modulo
vedi prog 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4" authorId="1" shapeId="0">
      <text>
        <r>
          <rPr>
            <b/>
            <sz val="12"/>
            <color indexed="81"/>
            <rFont val="Calibri Light"/>
            <family val="1"/>
            <scheme val="major"/>
          </rPr>
          <t xml:space="preserve">
Spettanza anno Fascia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4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 Light"/>
            <family val="1"/>
            <scheme val="major"/>
          </rPr>
          <t>spettanza Giorni Fascia uno
sistema multi_modulo
vedi prog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5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 Light"/>
            <family val="1"/>
            <scheme val="major"/>
          </rPr>
          <t>spettanza Giorni
Fascia due
sistema 1 modulo
vedi prog 2</t>
        </r>
      </text>
    </comment>
    <comment ref="K105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 Light"/>
            <family val="1"/>
            <scheme val="major"/>
          </rPr>
          <t>Spettanza anno Fascia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5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 Light"/>
            <family val="1"/>
            <scheme val="major"/>
          </rPr>
          <t>spettanza Giorni
Fascia due
sistema multi_modulo
vedi prog 1</t>
        </r>
      </text>
    </comment>
    <comment ref="K106" authorId="1" shapeId="0">
      <text>
        <r>
          <rPr>
            <sz val="12"/>
            <color indexed="81"/>
            <rFont val="Tahoma"/>
            <family val="2"/>
          </rPr>
          <t xml:space="preserve">
      </t>
        </r>
        <r>
          <rPr>
            <b/>
            <sz val="12"/>
            <color indexed="81"/>
            <rFont val="Calibri Light"/>
            <family val="1"/>
            <scheme val="major"/>
          </rPr>
          <t>oltre 256</t>
        </r>
        <r>
          <rPr>
            <b/>
            <sz val="12"/>
            <color indexed="12"/>
            <rFont val="Calibri Light"/>
            <family val="1"/>
            <scheme val="major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7" authorId="1" shapeId="0">
      <text>
        <r>
          <rPr>
            <b/>
            <sz val="12"/>
            <color indexed="81"/>
            <rFont val="Calibri Light"/>
            <family val="1"/>
            <scheme val="major"/>
          </rPr>
          <t xml:space="preserve">importo totale          Fatture
</t>
        </r>
      </text>
    </comment>
  </commentList>
</comments>
</file>

<file path=xl/sharedStrings.xml><?xml version="1.0" encoding="utf-8"?>
<sst xmlns="http://schemas.openxmlformats.org/spreadsheetml/2006/main" count="479" uniqueCount="226">
  <si>
    <t>Data</t>
  </si>
  <si>
    <t>mc</t>
  </si>
  <si>
    <t>RILEVAMENTO AQP</t>
  </si>
  <si>
    <t>RILEVAMENTO PRECEDENTE</t>
  </si>
  <si>
    <t>NUMERO GIORNI</t>
  </si>
  <si>
    <t>Eccedenza 1</t>
  </si>
  <si>
    <t>Eccedenza 2</t>
  </si>
  <si>
    <t>Eccedenza 3</t>
  </si>
  <si>
    <t>QUOTA FISSA</t>
  </si>
  <si>
    <t>TOTALE</t>
  </si>
  <si>
    <t>INSERIRE UTENTI</t>
  </si>
  <si>
    <t>N</t>
  </si>
  <si>
    <t>UTENTI</t>
  </si>
  <si>
    <t>IVA AL      10%</t>
  </si>
  <si>
    <t>TOTALE FATTURA</t>
  </si>
  <si>
    <t xml:space="preserve">TOTALE IMPONIBILE </t>
  </si>
  <si>
    <t>Totale Fattura AQP</t>
  </si>
  <si>
    <t>Tariffa agevolata</t>
  </si>
  <si>
    <t>Tariffa Base</t>
  </si>
  <si>
    <t>Consumo Accertato Moduli Individuali</t>
  </si>
  <si>
    <t>Da pagare entro-----------&gt;</t>
  </si>
  <si>
    <t>Elaborato Dettagliato Fattura AQP</t>
  </si>
  <si>
    <t>m³ Spettanti nel Trimestre in base ai giorni</t>
  </si>
  <si>
    <t>Consumo</t>
  </si>
  <si>
    <t>Giorni</t>
  </si>
  <si>
    <t>m³ fatturati</t>
  </si>
  <si>
    <t>Totale Fattura</t>
  </si>
  <si>
    <t xml:space="preserve"> Adeguamento  in Percentuale sui consumi Utenti</t>
  </si>
  <si>
    <r>
      <t>Consumo di m</t>
    </r>
    <r>
      <rPr>
        <sz val="10"/>
        <rFont val="Calibri"/>
        <family val="2"/>
      </rPr>
      <t>³</t>
    </r>
    <r>
      <rPr>
        <i/>
        <sz val="10"/>
        <rFont val="Arial"/>
        <family val="2"/>
      </rPr>
      <t xml:space="preserve"> al Giorno</t>
    </r>
  </si>
  <si>
    <t>Lettura Precedente</t>
  </si>
  <si>
    <t>Lettura Attuale</t>
  </si>
  <si>
    <t>Acqua</t>
  </si>
  <si>
    <t>Tariffa base</t>
  </si>
  <si>
    <t>Tariffa p1</t>
  </si>
  <si>
    <t>Tariffa p2</t>
  </si>
  <si>
    <t>Addebiti / Accrediti Diversi</t>
  </si>
  <si>
    <t>Tariffa p3</t>
  </si>
  <si>
    <t>Fogna</t>
  </si>
  <si>
    <t>Acconti Precedenti e Rettifiche</t>
  </si>
  <si>
    <t>Quota variabile  fognatura</t>
  </si>
  <si>
    <t>Quota variabile depurazione</t>
  </si>
  <si>
    <t>Quota idrico terremotati U11</t>
  </si>
  <si>
    <t>Quota Fogna Terremotati U11</t>
  </si>
  <si>
    <t>Quota Depurazione Terremotati U11</t>
  </si>
  <si>
    <t>Quota idrico Qualità U12</t>
  </si>
  <si>
    <t>Quota depurazione Qualità U12</t>
  </si>
  <si>
    <t>Quota fogna Qualità U12</t>
  </si>
  <si>
    <t>Quota fogna Fondo Opere Idriche U13</t>
  </si>
  <si>
    <t>Quota Idrico Fondo Opere Idriche U13</t>
  </si>
  <si>
    <t>Quota bonus sociale Fogna U14</t>
  </si>
  <si>
    <t>Quota bonus sociale Depurazione U14</t>
  </si>
  <si>
    <t>Quota bonus sociale idrico U14</t>
  </si>
  <si>
    <t>Saldo Elaborato Dopo Adeguamento  Consumi</t>
  </si>
  <si>
    <t>Saldo Elaborato Senza Adeguamento Consumi</t>
  </si>
  <si>
    <t>Numero Utenti</t>
  </si>
  <si>
    <t>Litri Giorni</t>
  </si>
  <si>
    <t>m³</t>
  </si>
  <si>
    <t>Fascia Base</t>
  </si>
  <si>
    <t>Agevolata</t>
  </si>
  <si>
    <t>Base</t>
  </si>
  <si>
    <t>1°</t>
  </si>
  <si>
    <r>
      <t>1</t>
    </r>
    <r>
      <rPr>
        <i/>
        <sz val="12"/>
        <color indexed="10"/>
        <rFont val="Arial"/>
        <family val="2"/>
      </rPr>
      <t>ª</t>
    </r>
  </si>
  <si>
    <t>2°</t>
  </si>
  <si>
    <r>
      <t>2</t>
    </r>
    <r>
      <rPr>
        <i/>
        <sz val="12"/>
        <color indexed="10"/>
        <rFont val="Arial"/>
        <family val="2"/>
      </rPr>
      <t>ª</t>
    </r>
  </si>
  <si>
    <t>3ª</t>
  </si>
  <si>
    <t>oltre</t>
  </si>
  <si>
    <t>3°</t>
  </si>
  <si>
    <t>Quota Depur Fondo Opere Idriche U13</t>
  </si>
  <si>
    <t>IVA 10%</t>
  </si>
  <si>
    <r>
      <rPr>
        <i/>
        <sz val="11"/>
        <rFont val="Arial"/>
        <family val="2"/>
      </rPr>
      <t>M</t>
    </r>
    <r>
      <rPr>
        <sz val="11"/>
        <rFont val="Arial"/>
        <family val="2"/>
      </rPr>
      <t>³</t>
    </r>
  </si>
  <si>
    <t>Media Cons.Giorni</t>
  </si>
  <si>
    <t>1° Trim</t>
  </si>
  <si>
    <t>Costo Fattura</t>
  </si>
  <si>
    <t>NB: Aggiornare Ogni Anno il Costo delle Fasce dal sito AQP</t>
  </si>
  <si>
    <t>Costo Eccedente Solo Informativo</t>
  </si>
  <si>
    <t>€</t>
  </si>
  <si>
    <t>%</t>
  </si>
  <si>
    <t>Crediti e Addebiti Diversi</t>
  </si>
  <si>
    <t>Totale Oneri di Perequazione</t>
  </si>
  <si>
    <t>Moduli ----&gt;</t>
  </si>
  <si>
    <t>Adeguamento Accertato Moduli a Consumo Aqp</t>
  </si>
  <si>
    <t>Eccedente Tra AQP e  Accertato</t>
  </si>
  <si>
    <t>Aliquote per Fasce Anno Precedente</t>
  </si>
  <si>
    <t xml:space="preserve">Aliquote Nuove per Fasce </t>
  </si>
  <si>
    <t>Quota fissa acqua x moduli</t>
  </si>
  <si>
    <t>Quota fissa fog. Dom x moduli</t>
  </si>
  <si>
    <t>Quota fissa Dep. Dom.x moduli</t>
  </si>
  <si>
    <t>Fasce  in base ai giorni Fatturati</t>
  </si>
  <si>
    <t>Totale Imponibile-----------&gt;</t>
  </si>
  <si>
    <t>Reale Comunicato</t>
  </si>
  <si>
    <t>dai Condomini</t>
  </si>
  <si>
    <t xml:space="preserve">1° Trimestre </t>
  </si>
  <si>
    <t>GIORNI FATTURATI</t>
  </si>
  <si>
    <t>SPETTANZE ANNUALI</t>
  </si>
  <si>
    <t>SPETTANZE PERIODO PER FASCIA</t>
  </si>
  <si>
    <t>PER FASCIA</t>
  </si>
  <si>
    <t>MC.</t>
  </si>
  <si>
    <t>&lt;=Tariffa agevolata=&gt;</t>
  </si>
  <si>
    <t>da mc.</t>
  </si>
  <si>
    <t>a mc.</t>
  </si>
  <si>
    <t>&lt;=    Tariffa base    =&gt;</t>
  </si>
  <si>
    <t>&lt;=   Prima fascia    =&gt;</t>
  </si>
  <si>
    <t>&lt;= Seconda fascia =&gt;</t>
  </si>
  <si>
    <t>&lt;=    Terza fascia    =&gt;</t>
  </si>
  <si>
    <t>Adeguamento in % sui  Consumi Utenti</t>
  </si>
  <si>
    <t>Inserire N° Moduli Come in Fattura AQP</t>
  </si>
  <si>
    <t>Fasce di Consumo AQP------------------------&gt;</t>
  </si>
  <si>
    <t>Tariffe AQP------------------&gt;</t>
  </si>
  <si>
    <t>Oneri di Perequazione più Variabile Fogna e Depurazione</t>
  </si>
  <si>
    <t>Sub totale con Riparto Adeguamento Fattura da Pagare</t>
  </si>
  <si>
    <t>Tariffa Agevolata</t>
  </si>
  <si>
    <t>SUB TOTALE IMPONIBILE</t>
  </si>
  <si>
    <r>
      <t>da m</t>
    </r>
    <r>
      <rPr>
        <sz val="10"/>
        <color indexed="8"/>
        <rFont val="Calibri"/>
        <family val="2"/>
      </rPr>
      <t>ᵌ</t>
    </r>
    <r>
      <rPr>
        <i/>
        <sz val="10"/>
        <color indexed="8"/>
        <rFont val="Arial"/>
        <family val="2"/>
      </rPr>
      <t> 0 a m</t>
    </r>
    <r>
      <rPr>
        <sz val="10"/>
        <color indexed="8"/>
        <rFont val="Calibri"/>
        <family val="2"/>
      </rPr>
      <t>ᵌ</t>
    </r>
    <r>
      <rPr>
        <i/>
        <sz val="10"/>
        <color indexed="8"/>
        <rFont val="Arial"/>
        <family val="2"/>
      </rPr>
      <t xml:space="preserve"> 20</t>
    </r>
  </si>
  <si>
    <r>
      <t>da m</t>
    </r>
    <r>
      <rPr>
        <sz val="10"/>
        <color indexed="8"/>
        <rFont val="Calibri"/>
        <family val="2"/>
      </rPr>
      <t>ᵌ</t>
    </r>
    <r>
      <rPr>
        <i/>
        <sz val="10"/>
        <color indexed="8"/>
        <rFont val="Arial"/>
        <family val="2"/>
      </rPr>
      <t> 20 a m</t>
    </r>
    <r>
      <rPr>
        <sz val="10"/>
        <color indexed="8"/>
        <rFont val="Calibri"/>
        <family val="2"/>
      </rPr>
      <t>ᵌ</t>
    </r>
    <r>
      <rPr>
        <i/>
        <sz val="10"/>
        <color indexed="8"/>
        <rFont val="Arial"/>
        <family val="2"/>
      </rPr>
      <t xml:space="preserve"> 30</t>
    </r>
  </si>
  <si>
    <r>
      <t>da m</t>
    </r>
    <r>
      <rPr>
        <sz val="10"/>
        <color indexed="8"/>
        <rFont val="Calibri"/>
        <family val="2"/>
      </rPr>
      <t>ᵌ</t>
    </r>
    <r>
      <rPr>
        <i/>
        <sz val="10"/>
        <color indexed="8"/>
        <rFont val="Arial"/>
        <family val="2"/>
      </rPr>
      <t> 30 a m</t>
    </r>
    <r>
      <rPr>
        <sz val="10"/>
        <color indexed="8"/>
        <rFont val="Calibri"/>
        <family val="2"/>
      </rPr>
      <t>ᵌ</t>
    </r>
    <r>
      <rPr>
        <i/>
        <sz val="10"/>
        <color indexed="8"/>
        <rFont val="Arial"/>
        <family val="2"/>
      </rPr>
      <t xml:space="preserve"> 40</t>
    </r>
  </si>
  <si>
    <r>
      <t>da m</t>
    </r>
    <r>
      <rPr>
        <sz val="10"/>
        <color indexed="8"/>
        <rFont val="Calibri"/>
        <family val="2"/>
      </rPr>
      <t>ᵌ</t>
    </r>
    <r>
      <rPr>
        <i/>
        <sz val="10"/>
        <color indexed="8"/>
        <rFont val="Arial"/>
        <family val="2"/>
      </rPr>
      <t> 40 a m</t>
    </r>
    <r>
      <rPr>
        <sz val="10"/>
        <color indexed="8"/>
        <rFont val="Calibri"/>
        <family val="2"/>
      </rPr>
      <t>ᵌ</t>
    </r>
    <r>
      <rPr>
        <i/>
        <sz val="10"/>
        <color indexed="8"/>
        <rFont val="Arial"/>
        <family val="2"/>
      </rPr>
      <t xml:space="preserve"> 70</t>
    </r>
  </si>
  <si>
    <r>
      <t>oltre m</t>
    </r>
    <r>
      <rPr>
        <sz val="10"/>
        <color indexed="8"/>
        <rFont val="Calibri"/>
        <family val="2"/>
      </rPr>
      <t>ᵌ</t>
    </r>
    <r>
      <rPr>
        <i/>
        <sz val="10"/>
        <color indexed="8"/>
        <rFont val="Arial"/>
        <family val="2"/>
      </rPr>
      <t> 70</t>
    </r>
  </si>
  <si>
    <t>CNF</t>
  </si>
  <si>
    <t>Oltre 70</t>
  </si>
  <si>
    <t xml:space="preserve"> Da Pagare Entro ----&gt;</t>
  </si>
  <si>
    <t>Altezza Piano</t>
  </si>
  <si>
    <t>Consumo Individuale Giornaliero</t>
  </si>
  <si>
    <r>
      <t>M</t>
    </r>
    <r>
      <rPr>
        <b/>
        <sz val="11"/>
        <rFont val="Arial"/>
        <family val="2"/>
      </rPr>
      <t>³</t>
    </r>
    <r>
      <rPr>
        <b/>
        <i/>
        <sz val="11"/>
        <rFont val="Arial"/>
        <family val="2"/>
      </rPr>
      <t xml:space="preserve"> Eccedenza come AQP</t>
    </r>
  </si>
  <si>
    <t>Schema per calcolo Fasce Eccedenze</t>
  </si>
  <si>
    <t xml:space="preserve">oltre </t>
  </si>
  <si>
    <t>T . Prog1</t>
  </si>
  <si>
    <t>Ammanco</t>
  </si>
  <si>
    <t>Oltre</t>
  </si>
  <si>
    <t>Calcolo Fasce Eccedenze con CNF</t>
  </si>
  <si>
    <t>Fascia Agevolata</t>
  </si>
  <si>
    <t>1° Fascia Eccedenza</t>
  </si>
  <si>
    <t>Nr. Utenti</t>
  </si>
  <si>
    <r>
      <t>M</t>
    </r>
    <r>
      <rPr>
        <b/>
        <sz val="11"/>
        <rFont val="Arial"/>
        <family val="2"/>
      </rPr>
      <t>³</t>
    </r>
    <r>
      <rPr>
        <b/>
        <i/>
        <sz val="11"/>
        <rFont val="Arial"/>
        <family val="2"/>
      </rPr>
      <t xml:space="preserve"> Spettanti</t>
    </r>
  </si>
  <si>
    <t>(CNF)</t>
  </si>
  <si>
    <t>Giorni Trim</t>
  </si>
  <si>
    <t>Giorni Anno</t>
  </si>
  <si>
    <r>
      <t>M</t>
    </r>
    <r>
      <rPr>
        <b/>
        <sz val="11"/>
        <rFont val="Arial"/>
        <family val="2"/>
      </rPr>
      <t>³</t>
    </r>
    <r>
      <rPr>
        <b/>
        <i/>
        <sz val="11"/>
        <rFont val="Arial"/>
        <family val="2"/>
      </rPr>
      <t xml:space="preserve">  Trimestre</t>
    </r>
  </si>
  <si>
    <r>
      <t>m</t>
    </r>
    <r>
      <rPr>
        <b/>
        <sz val="12"/>
        <rFont val="Arial"/>
        <family val="2"/>
      </rPr>
      <t>³</t>
    </r>
    <r>
      <rPr>
        <b/>
        <i/>
        <sz val="12"/>
        <rFont val="Arial"/>
        <family val="2"/>
      </rPr>
      <t xml:space="preserve"> Totali Fatturati</t>
    </r>
  </si>
  <si>
    <r>
      <t>Num utenti X m</t>
    </r>
    <r>
      <rPr>
        <sz val="14"/>
        <rFont val="Arial"/>
        <family val="2"/>
      </rPr>
      <t>³</t>
    </r>
    <r>
      <rPr>
        <i/>
        <sz val="14"/>
        <rFont val="Arial"/>
        <family val="2"/>
      </rPr>
      <t xml:space="preserve"> anno F.Agevolata X CNF X num. Giorni / 365 Giorni Anno</t>
    </r>
  </si>
  <si>
    <r>
      <t>Num utenti X m</t>
    </r>
    <r>
      <rPr>
        <sz val="14"/>
        <rFont val="Arial"/>
        <family val="2"/>
      </rPr>
      <t>³</t>
    </r>
    <r>
      <rPr>
        <i/>
        <sz val="14"/>
        <rFont val="Arial"/>
        <family val="2"/>
      </rPr>
      <t xml:space="preserve"> anno F.Base  X num. Giorni / 365 Giorni Anno</t>
    </r>
  </si>
  <si>
    <t>1° P</t>
  </si>
  <si>
    <t>2° P</t>
  </si>
  <si>
    <t>3° P</t>
  </si>
  <si>
    <t>Terra</t>
  </si>
  <si>
    <r>
      <t>Costo al m</t>
    </r>
    <r>
      <rPr>
        <b/>
        <sz val="10"/>
        <rFont val="Calibri"/>
        <family val="2"/>
      </rPr>
      <t>³</t>
    </r>
  </si>
  <si>
    <t>Numero Componenti Nucleo Familiare Standard AQP    3  (CNF)</t>
  </si>
  <si>
    <t xml:space="preserve">                      AQP RIPARTIZIONE ACQUA USO CONDOMINIALE CON (CNF) Standard 3         </t>
  </si>
  <si>
    <t>Utente 1</t>
  </si>
  <si>
    <t>Utente 2</t>
  </si>
  <si>
    <t>Utente 3</t>
  </si>
  <si>
    <t>Utente 4</t>
  </si>
  <si>
    <t>Utente 5</t>
  </si>
  <si>
    <t>Utente 6</t>
  </si>
  <si>
    <t>Utente 7</t>
  </si>
  <si>
    <t>Utente 8</t>
  </si>
  <si>
    <t>Utente 9</t>
  </si>
  <si>
    <t>Utente 10</t>
  </si>
  <si>
    <t>Utente 11</t>
  </si>
  <si>
    <t>Utente 12</t>
  </si>
  <si>
    <t>Utente 13</t>
  </si>
  <si>
    <t>Utente 14</t>
  </si>
  <si>
    <t>Utente 15</t>
  </si>
  <si>
    <t>Utente 16</t>
  </si>
  <si>
    <t>Utente 17</t>
  </si>
  <si>
    <t>Utente 18</t>
  </si>
  <si>
    <t>Utente 19</t>
  </si>
  <si>
    <t>Utente 20</t>
  </si>
  <si>
    <t>Utente 21</t>
  </si>
  <si>
    <t>Utente 22</t>
  </si>
  <si>
    <t>Utente 23</t>
  </si>
  <si>
    <t>Utente 24</t>
  </si>
  <si>
    <t>Utente 25</t>
  </si>
  <si>
    <t>Utente 26</t>
  </si>
  <si>
    <t>Utente 27</t>
  </si>
  <si>
    <t>60000/365 =</t>
  </si>
  <si>
    <t>90000/365 =</t>
  </si>
  <si>
    <t>120000/365 =</t>
  </si>
  <si>
    <t>210000/365 =</t>
  </si>
  <si>
    <t>100000/365    =</t>
  </si>
  <si>
    <t>TARIFFE CON DECORRENZA DAL 01/01/2022</t>
  </si>
  <si>
    <t xml:space="preserve">SERVIZIO ACQUEDOTTO  </t>
  </si>
  <si>
    <t>ONERI DI PEREQUAZIONE 2022</t>
  </si>
  <si>
    <t>-</t>
  </si>
  <si>
    <t>Uso domestico residente</t>
  </si>
  <si>
    <t>Fasce di consumo annuale</t>
  </si>
  <si>
    <t>Uso condominiale</t>
  </si>
  <si>
    <t>Per ciascun CNF</t>
  </si>
  <si>
    <t>a</t>
  </si>
  <si>
    <r>
      <t>da m</t>
    </r>
    <r>
      <rPr>
        <vertAlign val="superscript"/>
        <sz val="10"/>
        <rFont val="Arial"/>
        <family val="2"/>
      </rPr>
      <t>3</t>
    </r>
  </si>
  <si>
    <r>
      <t>a m</t>
    </r>
    <r>
      <rPr>
        <vertAlign val="superscript"/>
        <sz val="10"/>
        <rFont val="Arial"/>
        <family val="2"/>
      </rPr>
      <t>3</t>
    </r>
  </si>
  <si>
    <r>
      <t>Î/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</si>
  <si>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t>b</t>
  </si>
  <si>
    <t>c</t>
  </si>
  <si>
    <t>d</t>
  </si>
  <si>
    <t>e</t>
  </si>
  <si>
    <r>
      <t>oltre m</t>
    </r>
    <r>
      <rPr>
        <vertAlign val="superscript"/>
        <sz val="10"/>
        <rFont val="Arial"/>
        <family val="2"/>
      </rPr>
      <t>3</t>
    </r>
  </si>
  <si>
    <t>Uso domestico non residente</t>
  </si>
  <si>
    <t>Uso pubblico disalimentabile e non disalimentabile</t>
  </si>
  <si>
    <t>Uso commerciale</t>
  </si>
  <si>
    <t>Uso industriale e agricolo</t>
  </si>
  <si>
    <t>Altri usi</t>
  </si>
  <si>
    <t>Occasionale e provvisorio</t>
  </si>
  <si>
    <t>Quota fissa</t>
  </si>
  <si>
    <t>Uso Domestico  Uso Condominiale</t>
  </si>
  <si>
    <r>
      <t>Î/</t>
    </r>
    <r>
      <rPr>
        <sz val="10"/>
        <rFont val="Arial"/>
        <family val="2"/>
      </rPr>
      <t>anno</t>
    </r>
  </si>
  <si>
    <t>Uso Domestico non residente</t>
  </si>
  <si>
    <t>Comm.le, Pubblico, antincendio</t>
  </si>
  <si>
    <t>Industriale</t>
  </si>
  <si>
    <t xml:space="preserve">SERVIZIO FOGNATURA   </t>
  </si>
  <si>
    <t>Acque reflue domestiche o assimilate</t>
  </si>
  <si>
    <t>Acque reflue industriali</t>
  </si>
  <si>
    <t>Utenti con 0 determinazioni e consumo &lt; 300mc</t>
  </si>
  <si>
    <t>Utenti con 0 determinazioni e consumo &gt; 300mc</t>
  </si>
  <si>
    <t>Utenti con determinazioni  = 1</t>
  </si>
  <si>
    <t>Utenti con determinazioni  = 2</t>
  </si>
  <si>
    <t>Utenti con determinazioni  = 3</t>
  </si>
  <si>
    <r>
      <t xml:space="preserve">SERVIZIO DEPURAZIONE   </t>
    </r>
    <r>
      <rPr>
        <sz val="10"/>
        <rFont val="Arial"/>
        <family val="2"/>
      </rPr>
      <t xml:space="preserve"> </t>
    </r>
  </si>
  <si>
    <t xml:space="preserve">Acque reflue domestiche o assimilate   </t>
  </si>
  <si>
    <r>
      <t xml:space="preserve">Acque reflue industriali </t>
    </r>
    <r>
      <rPr>
        <sz val="10"/>
        <color theme="1"/>
        <rFont val="Arial"/>
        <family val="2"/>
      </rPr>
      <t>(tariffa quali-quantitativa)</t>
    </r>
  </si>
  <si>
    <r>
      <t>Î/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scaricato</t>
    </r>
    <r>
      <rPr>
        <sz val="14"/>
        <rFont val="Symbol"/>
        <family val="1"/>
        <charset val="2"/>
      </rPr>
      <t xml:space="preserve"> /</t>
    </r>
    <r>
      <rPr>
        <sz val="10"/>
        <rFont val="Arial"/>
        <family val="2"/>
      </rPr>
      <t>concentr. scaricate</t>
    </r>
  </si>
  <si>
    <t>Acque reflue industriali (quota capacità)</t>
  </si>
  <si>
    <r>
      <t>Î/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autorizzati </t>
    </r>
    <r>
      <rPr>
        <sz val="14"/>
        <rFont val="Symbol"/>
        <family val="1"/>
        <charset val="2"/>
      </rPr>
      <t>/</t>
    </r>
    <r>
      <rPr>
        <sz val="10"/>
        <rFont val="Arial"/>
        <family val="2"/>
      </rPr>
      <t>concentr. autorizzate</t>
    </r>
  </si>
  <si>
    <t>Giugno/Settembre   2022</t>
  </si>
  <si>
    <t xml:space="preserve">3° Trimestre </t>
  </si>
  <si>
    <t xml:space="preserve">Dicembre/ Dicembre </t>
  </si>
  <si>
    <t>3°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</si>
</sst>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_-[$€-2]\ * #,##0.00000_-;\-[$€-2]\ * #,##0.00000_-;_-[$€-2]\ * &quot;-&quot;??_-;_-@_-"/>
    <numFmt numFmtId="166" formatCode="_-[$€-2]\ * #,##0.000000_-;\-[$€-2]\ * #,##0.000000_-;_-[$€-2]\ * &quot;-&quot;??_-;_-@_-"/>
    <numFmt numFmtId="167" formatCode="_-* #,##0.00\ [$€-1]_-;\-* #,##0.00\ [$€-1]_-;_-* &quot;-&quot;??\ [$€-1]_-;_-@_-"/>
    <numFmt numFmtId="168" formatCode="_ * #,##0.00_ \ [$€-1]_ ;_ * \-#,##0.00\ \ [$€-1]_ ;_ * &quot;-&quot;??_ \ [$€-1]_ ;_ @_ "/>
    <numFmt numFmtId="169" formatCode="[$-410]d\ mmmm\ yyyy;@"/>
    <numFmt numFmtId="170" formatCode="ddd\,\ d\ mmm\,\ yyyy"/>
    <numFmt numFmtId="171" formatCode="_-&quot;€&quot;\ * #,##0.00_-;\-&quot;€&quot;\ * #,##0.00_-;_-&quot;€&quot;\ * &quot;-&quot;??_-;_-@_-"/>
    <numFmt numFmtId="172" formatCode="&quot;€&quot;\ #,##0.00"/>
    <numFmt numFmtId="173" formatCode="&quot;€&quot;\ #,##0.000000"/>
    <numFmt numFmtId="174" formatCode="0.000"/>
    <numFmt numFmtId="176" formatCode="0.00000"/>
    <numFmt numFmtId="177" formatCode="0.000000"/>
    <numFmt numFmtId="178" formatCode="0.0000"/>
    <numFmt numFmtId="179" formatCode="_-[$€-410]\ * #,##0.00_-;\-[$€-410]\ * #,##0.00_-;_-[$€-410]\ * &quot;-&quot;??_-;_-@_-"/>
    <numFmt numFmtId="181" formatCode="_-* #,##0_-;\-* #,##0_-;_-* &quot;-&quot;_-;_-@_-"/>
    <numFmt numFmtId="182" formatCode="#,##0_ ;\-#,##0\ "/>
    <numFmt numFmtId="183" formatCode="#,##0.00_ ;\-#,##0.00\ "/>
    <numFmt numFmtId="184" formatCode="#,##0.00\ &quot;€&quot;"/>
    <numFmt numFmtId="185" formatCode="_-&quot;€&quot;\ * #,##0.00_-;\-&quot;€&quot;\ * #,##0.00_-;_-&quot;€&quot;\ * &quot;-&quot;_-;_-@_-"/>
    <numFmt numFmtId="187" formatCode="_-* #,##0.000000_-;\-* #,##0.000000_-;_-* &quot;-&quot;??_-;_-@_-"/>
  </numFmts>
  <fonts count="83"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0"/>
      <color theme="0" tint="-4.9989318521683403E-2"/>
      <name val="Arial"/>
      <family val="2"/>
    </font>
    <font>
      <i/>
      <sz val="12"/>
      <color theme="0"/>
      <name val="Arial"/>
      <family val="2"/>
    </font>
    <font>
      <b/>
      <i/>
      <sz val="12"/>
      <color theme="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4"/>
      <name val="Arial"/>
      <family val="2"/>
    </font>
    <font>
      <i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0"/>
      <name val="Arial"/>
      <family val="2"/>
    </font>
    <font>
      <b/>
      <i/>
      <sz val="12"/>
      <name val="Arial"/>
      <family val="2"/>
    </font>
    <font>
      <i/>
      <sz val="14"/>
      <color theme="0"/>
      <name val="Arial"/>
      <family val="2"/>
    </font>
    <font>
      <b/>
      <i/>
      <sz val="10"/>
      <color indexed="12"/>
      <name val="Arial"/>
      <family val="2"/>
    </font>
    <font>
      <i/>
      <sz val="10"/>
      <color indexed="10"/>
      <name val="Arial"/>
      <family val="2"/>
    </font>
    <font>
      <i/>
      <sz val="48"/>
      <name val="Copperplate Gothic Bold"/>
      <family val="2"/>
    </font>
    <font>
      <i/>
      <sz val="11"/>
      <color indexed="12"/>
      <name val="Arial"/>
      <family val="2"/>
    </font>
    <font>
      <i/>
      <sz val="10"/>
      <color theme="1"/>
      <name val="Arial"/>
      <family val="2"/>
    </font>
    <font>
      <i/>
      <sz val="14"/>
      <name val="Arial"/>
      <family val="2"/>
    </font>
    <font>
      <b/>
      <i/>
      <sz val="14"/>
      <color theme="0"/>
      <name val="Arial"/>
      <family val="2"/>
    </font>
    <font>
      <i/>
      <sz val="14"/>
      <color rgb="FFFF0000"/>
      <name val="Arial"/>
      <family val="2"/>
    </font>
    <font>
      <sz val="10"/>
      <name val="Calibri"/>
      <family val="2"/>
    </font>
    <font>
      <i/>
      <sz val="18"/>
      <name val="Arial"/>
      <family val="2"/>
    </font>
    <font>
      <i/>
      <sz val="10"/>
      <color rgb="FF000000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i/>
      <sz val="16"/>
      <name val="Arial"/>
      <family val="2"/>
    </font>
    <font>
      <i/>
      <sz val="16"/>
      <name val="Arabic Typesetting"/>
      <family val="4"/>
    </font>
    <font>
      <b/>
      <i/>
      <sz val="12"/>
      <color theme="1"/>
      <name val="Arial"/>
      <family val="2"/>
    </font>
    <font>
      <sz val="9"/>
      <color indexed="81"/>
      <name val="Tahoma"/>
      <family val="2"/>
    </font>
    <font>
      <i/>
      <sz val="12"/>
      <color rgb="FFFF0000"/>
      <name val="Arial"/>
      <family val="2"/>
    </font>
    <font>
      <i/>
      <sz val="10"/>
      <color indexed="12"/>
      <name val="Arial"/>
      <family val="2"/>
    </font>
    <font>
      <i/>
      <sz val="12"/>
      <color indexed="10"/>
      <name val="Arial"/>
      <family val="2"/>
    </font>
    <font>
      <b/>
      <i/>
      <sz val="12"/>
      <color rgb="FF3E3E3E"/>
      <name val="Arial"/>
      <family val="2"/>
    </font>
    <font>
      <sz val="11"/>
      <name val="Arial"/>
      <family val="2"/>
    </font>
    <font>
      <sz val="11"/>
      <color indexed="8"/>
      <name val="Calibri"/>
      <family val="2"/>
      <charset val="1"/>
    </font>
    <font>
      <b/>
      <i/>
      <sz val="16"/>
      <color indexed="8"/>
      <name val="Californian FB"/>
      <family val="1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i/>
      <sz val="11"/>
      <color rgb="FF3399FF"/>
      <name val="Arial"/>
      <family val="2"/>
    </font>
    <font>
      <i/>
      <sz val="11"/>
      <color indexed="10"/>
      <name val="Arial"/>
      <family val="2"/>
    </font>
    <font>
      <b/>
      <sz val="10"/>
      <name val="Arial"/>
      <family val="2"/>
    </font>
    <font>
      <b/>
      <i/>
      <sz val="14"/>
      <color indexed="8"/>
      <name val="Arial"/>
      <family val="2"/>
    </font>
    <font>
      <b/>
      <sz val="12"/>
      <name val="Arial"/>
      <family val="2"/>
    </font>
    <font>
      <i/>
      <sz val="10"/>
      <color rgb="FF002060"/>
      <name val="Arial"/>
      <family val="2"/>
    </font>
    <font>
      <i/>
      <sz val="8"/>
      <color rgb="FF002060"/>
      <name val="Arial"/>
      <family val="2"/>
    </font>
    <font>
      <b/>
      <i/>
      <sz val="14"/>
      <color theme="1"/>
      <name val="Arial"/>
      <family val="2"/>
    </font>
    <font>
      <b/>
      <i/>
      <sz val="10"/>
      <color rgb="FF3399FF"/>
      <name val="Arial"/>
      <family val="2"/>
    </font>
    <font>
      <b/>
      <i/>
      <sz val="16"/>
      <name val="Arial"/>
      <family val="2"/>
    </font>
    <font>
      <b/>
      <i/>
      <sz val="22"/>
      <color theme="0"/>
      <name val="Arial"/>
      <family val="2"/>
    </font>
    <font>
      <b/>
      <i/>
      <sz val="14"/>
      <color rgb="FFFF0000"/>
      <name val="Arial"/>
      <family val="2"/>
    </font>
    <font>
      <b/>
      <i/>
      <sz val="18"/>
      <color rgb="FFFF0000"/>
      <name val="Arial"/>
      <family val="2"/>
    </font>
    <font>
      <b/>
      <i/>
      <sz val="18"/>
      <color rgb="FFC00000"/>
      <name val="Arial"/>
      <family val="2"/>
    </font>
    <font>
      <i/>
      <sz val="18"/>
      <color theme="1"/>
      <name val="Arial"/>
      <family val="2"/>
    </font>
    <font>
      <i/>
      <sz val="18"/>
      <color rgb="FF002060"/>
      <name val="Arial"/>
      <family val="2"/>
    </font>
    <font>
      <b/>
      <i/>
      <sz val="14"/>
      <color theme="1"/>
      <name val="Arial Narrow"/>
      <family val="2"/>
    </font>
    <font>
      <b/>
      <i/>
      <sz val="14"/>
      <name val="Arial Narrow"/>
      <family val="2"/>
    </font>
    <font>
      <b/>
      <sz val="12"/>
      <color indexed="81"/>
      <name val="Calibri Light"/>
      <family val="1"/>
      <scheme val="major"/>
    </font>
    <font>
      <sz val="12"/>
      <color indexed="81"/>
      <name val="Tahoma"/>
      <family val="2"/>
    </font>
    <font>
      <b/>
      <sz val="12"/>
      <color indexed="12"/>
      <name val="Calibri Light"/>
      <family val="1"/>
      <scheme val="major"/>
    </font>
    <font>
      <b/>
      <i/>
      <sz val="16"/>
      <color theme="0"/>
      <name val="Arial"/>
      <family val="2"/>
    </font>
    <font>
      <b/>
      <i/>
      <sz val="12"/>
      <color theme="1"/>
      <name val="Arial Narrow"/>
      <family val="2"/>
    </font>
    <font>
      <b/>
      <i/>
      <sz val="18"/>
      <color theme="0"/>
      <name val="Arial"/>
      <family val="2"/>
    </font>
    <font>
      <sz val="14"/>
      <name val="Arial"/>
      <family val="2"/>
    </font>
    <font>
      <b/>
      <i/>
      <sz val="18"/>
      <color theme="1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b/>
      <i/>
      <sz val="22"/>
      <color theme="1"/>
      <name val="Arial"/>
      <family val="2"/>
    </font>
    <font>
      <i/>
      <sz val="20"/>
      <color theme="1"/>
      <name val="Arial"/>
      <family val="2"/>
    </font>
    <font>
      <b/>
      <sz val="10"/>
      <name val="Calibri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  <font>
      <sz val="14"/>
      <name val="Symbol"/>
      <family val="1"/>
      <charset val="2"/>
    </font>
    <font>
      <b/>
      <sz val="12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7FFE2"/>
        <bgColor indexed="64"/>
      </patternFill>
    </fill>
    <fill>
      <patternFill patternType="solid">
        <fgColor theme="0"/>
        <bgColor indexed="52"/>
      </patternFill>
    </fill>
    <fill>
      <patternFill patternType="lightUp">
        <fgColor theme="7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D47D"/>
        <bgColor indexed="64"/>
      </patternFill>
    </fill>
    <fill>
      <patternFill patternType="solid">
        <fgColor rgb="FF2CA985"/>
        <bgColor indexed="64"/>
      </patternFill>
    </fill>
    <fill>
      <patternFill patternType="solid">
        <fgColor rgb="FF2CA985"/>
        <bgColor indexed="52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double">
        <color rgb="FFFFFF00"/>
      </left>
      <right/>
      <top style="thin">
        <color theme="0"/>
      </top>
      <bottom style="thin">
        <color theme="0"/>
      </bottom>
      <diagonal/>
    </border>
    <border>
      <left style="thin">
        <color rgb="FFFFFF00"/>
      </left>
      <right/>
      <top style="thin">
        <color theme="0"/>
      </top>
      <bottom style="thin">
        <color theme="0"/>
      </bottom>
      <diagonal/>
    </border>
    <border>
      <left/>
      <right style="double">
        <color rgb="FFFFFF0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rgb="FFFFFF00"/>
      </left>
      <right/>
      <top style="thin">
        <color theme="0"/>
      </top>
      <bottom style="double">
        <color rgb="FFFFFF00"/>
      </bottom>
      <diagonal/>
    </border>
    <border>
      <left/>
      <right style="double">
        <color rgb="FFFFFF00"/>
      </right>
      <top style="thin">
        <color theme="0"/>
      </top>
      <bottom style="double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double">
        <color theme="1"/>
      </left>
      <right style="double">
        <color theme="1"/>
      </right>
      <top/>
      <bottom style="double">
        <color rgb="FFFF0000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rgb="FFFF0000"/>
      </top>
      <bottom/>
      <diagonal/>
    </border>
    <border>
      <left/>
      <right style="thin">
        <color theme="1"/>
      </right>
      <top style="double">
        <color rgb="FFFF000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4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2" fillId="0" borderId="0" applyFont="0" applyFill="0" applyBorder="0" applyAlignment="0" applyProtection="0"/>
  </cellStyleXfs>
  <cellXfs count="553">
    <xf numFmtId="0" fontId="0" fillId="0" borderId="0" xfId="0"/>
    <xf numFmtId="0" fontId="2" fillId="0" borderId="0" xfId="1" applyBorder="1"/>
    <xf numFmtId="0" fontId="2" fillId="0" borderId="0" xfId="1" applyBorder="1" applyAlignment="1">
      <alignment horizontal="center"/>
    </xf>
    <xf numFmtId="0" fontId="4" fillId="0" borderId="0" xfId="1" applyFont="1" applyFill="1" applyAlignment="1">
      <alignment vertical="center"/>
    </xf>
    <xf numFmtId="0" fontId="2" fillId="0" borderId="0" xfId="1"/>
    <xf numFmtId="0" fontId="2" fillId="0" borderId="0" xfId="1" applyFont="1" applyAlignment="1"/>
    <xf numFmtId="0" fontId="1" fillId="2" borderId="14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left"/>
    </xf>
    <xf numFmtId="0" fontId="1" fillId="2" borderId="16" xfId="1" applyFont="1" applyFill="1" applyBorder="1" applyAlignment="1">
      <alignment horizontal="left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Protection="1">
      <protection hidden="1"/>
    </xf>
    <xf numFmtId="0" fontId="20" fillId="0" borderId="0" xfId="0" applyFont="1" applyFill="1" applyBorder="1" applyAlignment="1" applyProtection="1">
      <alignment horizontal="centerContinuous"/>
      <protection hidden="1"/>
    </xf>
    <xf numFmtId="0" fontId="21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Protection="1"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18" fillId="5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171" fontId="12" fillId="13" borderId="37" xfId="0" applyNumberFormat="1" applyFont="1" applyFill="1" applyBorder="1" applyAlignment="1" applyProtection="1">
      <alignment vertical="center"/>
      <protection hidden="1"/>
    </xf>
    <xf numFmtId="4" fontId="9" fillId="0" borderId="0" xfId="0" applyNumberFormat="1" applyFont="1" applyFill="1" applyBorder="1" applyProtection="1">
      <protection hidden="1"/>
    </xf>
    <xf numFmtId="0" fontId="27" fillId="3" borderId="33" xfId="0" applyFont="1" applyFill="1" applyBorder="1" applyAlignment="1" applyProtection="1">
      <alignment horizontal="center" vertical="center"/>
      <protection hidden="1"/>
    </xf>
    <xf numFmtId="2" fontId="26" fillId="11" borderId="39" xfId="0" applyNumberFormat="1" applyFont="1" applyFill="1" applyBorder="1" applyAlignment="1" applyProtection="1">
      <alignment horizontal="center" vertical="center"/>
      <protection hidden="1"/>
    </xf>
    <xf numFmtId="171" fontId="12" fillId="13" borderId="46" xfId="0" applyNumberFormat="1" applyFont="1" applyFill="1" applyBorder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left" vertical="center"/>
      <protection hidden="1"/>
    </xf>
    <xf numFmtId="0" fontId="30" fillId="0" borderId="1" xfId="0" applyFont="1" applyFill="1" applyBorder="1" applyAlignment="1">
      <alignment horizontal="left" vertical="top" wrapText="1"/>
    </xf>
    <xf numFmtId="173" fontId="12" fillId="0" borderId="1" xfId="0" applyNumberFormat="1" applyFont="1" applyFill="1" applyBorder="1" applyAlignment="1" applyProtection="1">
      <alignment horizontal="center" vertical="center"/>
      <protection hidden="1"/>
    </xf>
    <xf numFmtId="172" fontId="13" fillId="0" borderId="42" xfId="0" applyNumberFormat="1" applyFont="1" applyFill="1" applyBorder="1" applyAlignment="1" applyProtection="1">
      <alignment vertical="center"/>
      <protection hidden="1"/>
    </xf>
    <xf numFmtId="172" fontId="13" fillId="0" borderId="0" xfId="0" applyNumberFormat="1" applyFont="1" applyFill="1" applyBorder="1" applyAlignment="1" applyProtection="1">
      <alignment vertical="center"/>
      <protection hidden="1"/>
    </xf>
    <xf numFmtId="4" fontId="12" fillId="0" borderId="9" xfId="0" applyNumberFormat="1" applyFont="1" applyFill="1" applyBorder="1" applyAlignment="1" applyProtection="1">
      <alignment horizontal="left" vertical="center"/>
      <protection locked="0" hidden="1"/>
    </xf>
    <xf numFmtId="4" fontId="12" fillId="0" borderId="33" xfId="0" applyNumberFormat="1" applyFont="1" applyFill="1" applyBorder="1" applyAlignment="1" applyProtection="1">
      <alignment horizontal="left" vertical="center"/>
      <protection locked="0" hidden="1"/>
    </xf>
    <xf numFmtId="171" fontId="12" fillId="13" borderId="52" xfId="0" applyNumberFormat="1" applyFont="1" applyFill="1" applyBorder="1" applyAlignment="1" applyProtection="1">
      <alignment vertical="center"/>
      <protection hidden="1"/>
    </xf>
    <xf numFmtId="4" fontId="12" fillId="0" borderId="9" xfId="0" applyNumberFormat="1" applyFont="1" applyFill="1" applyBorder="1" applyAlignment="1" applyProtection="1">
      <alignment horizontal="left"/>
      <protection locked="0" hidden="1"/>
    </xf>
    <xf numFmtId="4" fontId="11" fillId="0" borderId="33" xfId="0" applyNumberFormat="1" applyFont="1" applyFill="1" applyBorder="1" applyProtection="1">
      <protection hidden="1"/>
    </xf>
    <xf numFmtId="4" fontId="12" fillId="0" borderId="1" xfId="0" applyNumberFormat="1" applyFont="1" applyFill="1" applyBorder="1" applyAlignment="1" applyProtection="1">
      <alignment horizontal="center"/>
      <protection locked="0" hidden="1"/>
    </xf>
    <xf numFmtId="14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/>
    <xf numFmtId="0" fontId="10" fillId="0" borderId="0" xfId="1" applyFont="1" applyAlignment="1">
      <alignment horizontal="center" vertical="center"/>
    </xf>
    <xf numFmtId="0" fontId="10" fillId="0" borderId="54" xfId="1" applyFont="1" applyBorder="1" applyAlignment="1">
      <alignment vertical="center"/>
    </xf>
    <xf numFmtId="0" fontId="9" fillId="0" borderId="55" xfId="0" applyFont="1" applyBorder="1" applyAlignment="1" applyProtection="1">
      <alignment horizontal="center" vertical="center"/>
      <protection hidden="1"/>
    </xf>
    <xf numFmtId="0" fontId="10" fillId="0" borderId="56" xfId="1" applyFont="1" applyBorder="1" applyAlignment="1">
      <alignment horizontal="center" vertical="center"/>
    </xf>
    <xf numFmtId="0" fontId="24" fillId="0" borderId="0" xfId="1" applyFont="1" applyAlignment="1">
      <alignment horizontal="right" vertical="center"/>
    </xf>
    <xf numFmtId="174" fontId="38" fillId="0" borderId="24" xfId="0" applyNumberFormat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176" fontId="10" fillId="0" borderId="56" xfId="1" applyNumberFormat="1" applyFont="1" applyBorder="1" applyAlignment="1">
      <alignment horizontal="center" vertical="center"/>
    </xf>
    <xf numFmtId="0" fontId="9" fillId="0" borderId="0" xfId="0" applyFont="1" applyBorder="1" applyProtection="1">
      <protection hidden="1"/>
    </xf>
    <xf numFmtId="0" fontId="34" fillId="0" borderId="0" xfId="0" applyFont="1" applyFill="1" applyBorder="1" applyAlignment="1">
      <alignment wrapText="1"/>
    </xf>
    <xf numFmtId="4" fontId="8" fillId="0" borderId="0" xfId="0" applyNumberFormat="1" applyFont="1" applyFill="1" applyBorder="1" applyProtection="1">
      <protection hidden="1"/>
    </xf>
    <xf numFmtId="0" fontId="9" fillId="0" borderId="0" xfId="0" applyFont="1" applyBorder="1"/>
    <xf numFmtId="3" fontId="18" fillId="0" borderId="1" xfId="0" applyNumberFormat="1" applyFont="1" applyFill="1" applyBorder="1" applyAlignment="1" applyProtection="1">
      <alignment horizontal="center" vertical="center"/>
      <protection hidden="1"/>
    </xf>
    <xf numFmtId="1" fontId="40" fillId="0" borderId="1" xfId="0" applyNumberFormat="1" applyFont="1" applyBorder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1" fontId="11" fillId="13" borderId="46" xfId="0" applyNumberFormat="1" applyFont="1" applyFill="1" applyBorder="1" applyAlignment="1" applyProtection="1">
      <alignment vertical="center"/>
      <protection hidden="1"/>
    </xf>
    <xf numFmtId="2" fontId="21" fillId="0" borderId="29" xfId="0" applyNumberFormat="1" applyFont="1" applyBorder="1" applyAlignment="1">
      <alignment horizontal="center"/>
    </xf>
    <xf numFmtId="2" fontId="21" fillId="0" borderId="30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71" fontId="9" fillId="0" borderId="0" xfId="1" applyNumberFormat="1" applyFont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right" vertical="center"/>
    </xf>
    <xf numFmtId="0" fontId="9" fillId="7" borderId="6" xfId="0" applyFont="1" applyFill="1" applyBorder="1" applyAlignment="1">
      <alignment horizontal="center" vertical="center" wrapText="1"/>
    </xf>
    <xf numFmtId="168" fontId="9" fillId="7" borderId="6" xfId="0" applyNumberFormat="1" applyFont="1" applyFill="1" applyBorder="1" applyAlignment="1">
      <alignment horizontal="center" vertical="center"/>
    </xf>
    <xf numFmtId="2" fontId="9" fillId="7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174" fontId="38" fillId="0" borderId="31" xfId="0" applyNumberFormat="1" applyFont="1" applyBorder="1" applyAlignment="1">
      <alignment horizontal="center" vertical="center"/>
    </xf>
    <xf numFmtId="2" fontId="38" fillId="0" borderId="3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43" fillId="18" borderId="0" xfId="2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2" fillId="19" borderId="0" xfId="0" applyNumberFormat="1" applyFont="1" applyFill="1" applyBorder="1" applyAlignment="1" applyProtection="1">
      <alignment vertical="center"/>
      <protection hidden="1"/>
    </xf>
    <xf numFmtId="0" fontId="9" fillId="19" borderId="0" xfId="0" applyFont="1" applyFill="1" applyBorder="1" applyProtection="1">
      <protection hidden="1"/>
    </xf>
    <xf numFmtId="2" fontId="33" fillId="0" borderId="0" xfId="0" applyNumberFormat="1" applyFont="1" applyBorder="1" applyAlignment="1" applyProtection="1">
      <alignment horizontal="center" vertical="center"/>
      <protection hidden="1"/>
    </xf>
    <xf numFmtId="0" fontId="8" fillId="19" borderId="0" xfId="0" applyNumberFormat="1" applyFont="1" applyFill="1" applyBorder="1" applyProtection="1">
      <protection hidden="1"/>
    </xf>
    <xf numFmtId="0" fontId="9" fillId="19" borderId="0" xfId="0" applyNumberFormat="1" applyFont="1" applyFill="1" applyBorder="1" applyProtection="1">
      <protection hidden="1"/>
    </xf>
    <xf numFmtId="171" fontId="18" fillId="19" borderId="0" xfId="0" applyNumberFormat="1" applyFont="1" applyFill="1" applyBorder="1" applyProtection="1">
      <protection hidden="1"/>
    </xf>
    <xf numFmtId="0" fontId="9" fillId="19" borderId="0" xfId="0" applyFont="1" applyFill="1" applyProtection="1">
      <protection hidden="1"/>
    </xf>
    <xf numFmtId="177" fontId="9" fillId="0" borderId="0" xfId="0" applyNumberFormat="1" applyFont="1"/>
    <xf numFmtId="0" fontId="9" fillId="0" borderId="77" xfId="0" applyFont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left" vertical="center"/>
      <protection locked="0" hidden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182" fontId="49" fillId="20" borderId="66" xfId="3" applyNumberFormat="1" applyFont="1" applyFill="1" applyBorder="1" applyAlignment="1" applyProtection="1">
      <alignment horizontal="center" vertical="center"/>
      <protection hidden="1"/>
    </xf>
    <xf numFmtId="183" fontId="12" fillId="0" borderId="1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0" applyFont="1" applyAlignment="1" applyProtection="1">
      <alignment vertical="center"/>
      <protection hidden="1"/>
    </xf>
    <xf numFmtId="171" fontId="17" fillId="15" borderId="51" xfId="0" applyNumberFormat="1" applyFont="1" applyFill="1" applyBorder="1" applyAlignment="1" applyProtection="1">
      <alignment horizontal="center" vertical="center"/>
      <protection hidden="1"/>
    </xf>
    <xf numFmtId="171" fontId="11" fillId="3" borderId="24" xfId="0" applyNumberFormat="1" applyFont="1" applyFill="1" applyBorder="1" applyAlignment="1" applyProtection="1">
      <alignment horizontal="center" vertical="center"/>
      <protection hidden="1"/>
    </xf>
    <xf numFmtId="171" fontId="12" fillId="17" borderId="1" xfId="0" applyNumberFormat="1" applyFont="1" applyFill="1" applyBorder="1" applyAlignment="1" applyProtection="1">
      <alignment vertical="center"/>
      <protection hidden="1"/>
    </xf>
    <xf numFmtId="171" fontId="12" fillId="4" borderId="1" xfId="0" applyNumberFormat="1" applyFont="1" applyFill="1" applyBorder="1" applyAlignment="1" applyProtection="1">
      <alignment vertical="center"/>
      <protection hidden="1"/>
    </xf>
    <xf numFmtId="0" fontId="25" fillId="0" borderId="21" xfId="0" applyFont="1" applyBorder="1" applyAlignment="1" applyProtection="1">
      <alignment horizontal="center" vertical="center"/>
      <protection hidden="1"/>
    </xf>
    <xf numFmtId="184" fontId="9" fillId="0" borderId="2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0" xfId="0" applyFont="1"/>
    <xf numFmtId="0" fontId="9" fillId="0" borderId="4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166" fontId="16" fillId="3" borderId="6" xfId="0" applyNumberFormat="1" applyFont="1" applyFill="1" applyBorder="1" applyAlignment="1">
      <alignment horizontal="center" vertical="center"/>
    </xf>
    <xf numFmtId="166" fontId="16" fillId="3" borderId="22" xfId="0" applyNumberFormat="1" applyFont="1" applyFill="1" applyBorder="1" applyAlignment="1">
      <alignment horizontal="center" vertical="center"/>
    </xf>
    <xf numFmtId="165" fontId="16" fillId="3" borderId="6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42" xfId="0" applyFont="1" applyBorder="1" applyAlignment="1" applyProtection="1">
      <alignment horizontal="center" vertical="top"/>
      <protection hidden="1"/>
    </xf>
    <xf numFmtId="0" fontId="9" fillId="0" borderId="24" xfId="0" applyFont="1" applyBorder="1" applyAlignment="1" applyProtection="1">
      <alignment horizontal="center" vertical="top"/>
      <protection hidden="1"/>
    </xf>
    <xf numFmtId="172" fontId="12" fillId="0" borderId="53" xfId="0" applyNumberFormat="1" applyFont="1" applyFill="1" applyBorder="1" applyAlignment="1" applyProtection="1">
      <alignment horizontal="center" vertical="center" wrapText="1"/>
      <protection hidden="1"/>
    </xf>
    <xf numFmtId="17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14" fontId="11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19" borderId="29" xfId="0" applyNumberFormat="1" applyFont="1" applyFill="1" applyBorder="1" applyAlignment="1" applyProtection="1">
      <alignment horizontal="center" vertical="center" wrapText="1"/>
      <protection hidden="1"/>
    </xf>
    <xf numFmtId="0" fontId="18" fillId="19" borderId="42" xfId="0" applyNumberFormat="1" applyFont="1" applyFill="1" applyBorder="1" applyAlignment="1" applyProtection="1">
      <alignment horizontal="center" vertical="center" wrapText="1"/>
      <protection hidden="1"/>
    </xf>
    <xf numFmtId="0" fontId="18" fillId="19" borderId="24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4" xfId="0" applyFont="1" applyBorder="1" applyAlignment="1">
      <alignment horizontal="center" vertical="center"/>
    </xf>
    <xf numFmtId="2" fontId="58" fillId="0" borderId="4" xfId="0" applyNumberFormat="1" applyFont="1" applyBorder="1" applyAlignment="1">
      <alignment horizontal="center" vertical="center"/>
    </xf>
    <xf numFmtId="2" fontId="29" fillId="7" borderId="4" xfId="0" applyNumberFormat="1" applyFont="1" applyFill="1" applyBorder="1" applyAlignment="1">
      <alignment horizontal="center" vertical="center"/>
    </xf>
    <xf numFmtId="168" fontId="29" fillId="7" borderId="4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58" fillId="0" borderId="1" xfId="0" applyNumberFormat="1" applyFont="1" applyBorder="1" applyAlignment="1">
      <alignment horizontal="center" vertical="center"/>
    </xf>
    <xf numFmtId="2" fontId="29" fillId="7" borderId="1" xfId="0" applyNumberFormat="1" applyFont="1" applyFill="1" applyBorder="1" applyAlignment="1">
      <alignment horizontal="center" vertical="center"/>
    </xf>
    <xf numFmtId="168" fontId="29" fillId="7" borderId="1" xfId="0" applyNumberFormat="1" applyFont="1" applyFill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167" fontId="29" fillId="0" borderId="4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164" fontId="29" fillId="0" borderId="24" xfId="0" applyNumberFormat="1" applyFont="1" applyBorder="1" applyAlignment="1">
      <alignment horizontal="center" vertical="center"/>
    </xf>
    <xf numFmtId="184" fontId="59" fillId="0" borderId="7" xfId="0" applyNumberFormat="1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/>
    </xf>
    <xf numFmtId="184" fontId="59" fillId="0" borderId="9" xfId="0" applyNumberFormat="1" applyFont="1" applyBorder="1" applyAlignment="1">
      <alignment horizontal="center" vertical="center"/>
    </xf>
    <xf numFmtId="2" fontId="60" fillId="14" borderId="4" xfId="0" applyNumberFormat="1" applyFont="1" applyFill="1" applyBorder="1" applyAlignment="1">
      <alignment horizontal="center"/>
    </xf>
    <xf numFmtId="4" fontId="29" fillId="10" borderId="4" xfId="0" applyNumberFormat="1" applyFont="1" applyFill="1" applyBorder="1" applyAlignment="1" applyProtection="1">
      <alignment horizontal="center"/>
      <protection hidden="1"/>
    </xf>
    <xf numFmtId="4" fontId="61" fillId="23" borderId="4" xfId="0" applyNumberFormat="1" applyFont="1" applyFill="1" applyBorder="1" applyAlignment="1" applyProtection="1">
      <alignment horizontal="center"/>
      <protection hidden="1"/>
    </xf>
    <xf numFmtId="4" fontId="61" fillId="24" borderId="4" xfId="0" applyNumberFormat="1" applyFont="1" applyFill="1" applyBorder="1" applyAlignment="1" applyProtection="1">
      <alignment horizontal="center"/>
      <protection hidden="1"/>
    </xf>
    <xf numFmtId="4" fontId="61" fillId="25" borderId="4" xfId="0" applyNumberFormat="1" applyFont="1" applyFill="1" applyBorder="1" applyAlignment="1" applyProtection="1">
      <alignment horizontal="center"/>
      <protection hidden="1"/>
    </xf>
    <xf numFmtId="2" fontId="60" fillId="14" borderId="1" xfId="0" applyNumberFormat="1" applyFont="1" applyFill="1" applyBorder="1" applyAlignment="1">
      <alignment horizontal="center"/>
    </xf>
    <xf numFmtId="4" fontId="29" fillId="10" borderId="1" xfId="0" applyNumberFormat="1" applyFont="1" applyFill="1" applyBorder="1" applyAlignment="1" applyProtection="1">
      <alignment horizontal="center"/>
      <protection hidden="1"/>
    </xf>
    <xf numFmtId="4" fontId="61" fillId="23" borderId="1" xfId="0" applyNumberFormat="1" applyFont="1" applyFill="1" applyBorder="1" applyAlignment="1" applyProtection="1">
      <alignment horizontal="center"/>
      <protection hidden="1"/>
    </xf>
    <xf numFmtId="4" fontId="61" fillId="24" borderId="1" xfId="0" applyNumberFormat="1" applyFont="1" applyFill="1" applyBorder="1" applyAlignment="1" applyProtection="1">
      <alignment horizontal="center"/>
      <protection hidden="1"/>
    </xf>
    <xf numFmtId="4" fontId="61" fillId="25" borderId="1" xfId="0" applyNumberFormat="1" applyFont="1" applyFill="1" applyBorder="1" applyAlignment="1" applyProtection="1">
      <alignment horizontal="center"/>
      <protection hidden="1"/>
    </xf>
    <xf numFmtId="2" fontId="62" fillId="6" borderId="1" xfId="0" applyNumberFormat="1" applyFont="1" applyFill="1" applyBorder="1" applyAlignment="1" applyProtection="1">
      <alignment horizontal="left" vertical="center"/>
      <protection hidden="1"/>
    </xf>
    <xf numFmtId="37" fontId="62" fillId="5" borderId="1" xfId="5" applyNumberFormat="1" applyFont="1" applyFill="1" applyBorder="1" applyAlignment="1">
      <alignment horizontal="left" vertical="center"/>
    </xf>
    <xf numFmtId="37" fontId="62" fillId="6" borderId="1" xfId="5" applyNumberFormat="1" applyFont="1" applyFill="1" applyBorder="1" applyAlignment="1">
      <alignment horizontal="left" vertical="center"/>
    </xf>
    <xf numFmtId="2" fontId="63" fillId="24" borderId="9" xfId="0" applyNumberFormat="1" applyFont="1" applyFill="1" applyBorder="1" applyAlignment="1" applyProtection="1">
      <alignment horizontal="left" vertical="center"/>
      <protection hidden="1"/>
    </xf>
    <xf numFmtId="2" fontId="11" fillId="0" borderId="1" xfId="0" applyNumberFormat="1" applyFont="1" applyBorder="1" applyAlignment="1">
      <alignment horizontal="center" vertical="center"/>
    </xf>
    <xf numFmtId="2" fontId="62" fillId="24" borderId="9" xfId="0" applyNumberFormat="1" applyFont="1" applyFill="1" applyBorder="1" applyAlignment="1" applyProtection="1">
      <alignment horizontal="left" vertical="center"/>
      <protection hidden="1"/>
    </xf>
    <xf numFmtId="2" fontId="62" fillId="5" borderId="9" xfId="0" applyNumberFormat="1" applyFont="1" applyFill="1" applyBorder="1" applyAlignment="1" applyProtection="1">
      <alignment horizontal="left" vertical="center"/>
      <protection hidden="1"/>
    </xf>
    <xf numFmtId="4" fontId="11" fillId="0" borderId="1" xfId="0" applyNumberFormat="1" applyFont="1" applyBorder="1" applyAlignment="1">
      <alignment horizontal="center" vertical="center"/>
    </xf>
    <xf numFmtId="0" fontId="62" fillId="6" borderId="21" xfId="0" applyFont="1" applyFill="1" applyBorder="1" applyAlignment="1" applyProtection="1">
      <alignment horizontal="left" vertical="center"/>
      <protection hidden="1"/>
    </xf>
    <xf numFmtId="0" fontId="62" fillId="5" borderId="21" xfId="0" applyFont="1" applyFill="1" applyBorder="1" applyAlignment="1" applyProtection="1">
      <alignment horizontal="left" vertical="center"/>
      <protection hidden="1"/>
    </xf>
    <xf numFmtId="176" fontId="62" fillId="5" borderId="9" xfId="0" applyNumberFormat="1" applyFont="1" applyFill="1" applyBorder="1" applyAlignment="1" applyProtection="1">
      <alignment horizontal="left" vertical="center"/>
      <protection hidden="1"/>
    </xf>
    <xf numFmtId="185" fontId="62" fillId="3" borderId="1" xfId="0" applyNumberFormat="1" applyFont="1" applyFill="1" applyBorder="1" applyAlignment="1" applyProtection="1">
      <alignment horizontal="center" vertical="center"/>
      <protection hidden="1"/>
    </xf>
    <xf numFmtId="185" fontId="62" fillId="5" borderId="1" xfId="0" applyNumberFormat="1" applyFont="1" applyFill="1" applyBorder="1" applyAlignment="1" applyProtection="1">
      <alignment horizontal="center" vertical="center"/>
      <protection hidden="1"/>
    </xf>
    <xf numFmtId="171" fontId="62" fillId="6" borderId="1" xfId="0" applyNumberFormat="1" applyFont="1" applyFill="1" applyBorder="1" applyAlignment="1" applyProtection="1">
      <alignment horizontal="center" vertical="center"/>
      <protection hidden="1"/>
    </xf>
    <xf numFmtId="0" fontId="67" fillId="26" borderId="0" xfId="0" applyFont="1" applyFill="1" applyAlignment="1">
      <alignment horizontal="center" vertical="center"/>
    </xf>
    <xf numFmtId="185" fontId="68" fillId="6" borderId="1" xfId="0" applyNumberFormat="1" applyFont="1" applyFill="1" applyBorder="1" applyAlignment="1" applyProtection="1">
      <alignment horizontal="center" vertical="center"/>
      <protection hidden="1"/>
    </xf>
    <xf numFmtId="1" fontId="62" fillId="6" borderId="1" xfId="0" applyNumberFormat="1" applyFont="1" applyFill="1" applyBorder="1" applyAlignment="1" applyProtection="1">
      <alignment horizontal="left" vertical="center"/>
      <protection hidden="1"/>
    </xf>
    <xf numFmtId="1" fontId="63" fillId="24" borderId="9" xfId="0" applyNumberFormat="1" applyFont="1" applyFill="1" applyBorder="1" applyAlignment="1" applyProtection="1">
      <alignment horizontal="left" vertical="center"/>
      <protection hidden="1"/>
    </xf>
    <xf numFmtId="1" fontId="18" fillId="0" borderId="0" xfId="0" applyNumberFormat="1" applyFont="1" applyAlignment="1">
      <alignment horizontal="center" vertical="center"/>
    </xf>
    <xf numFmtId="0" fontId="9" fillId="0" borderId="1" xfId="0" applyFont="1" applyBorder="1" applyAlignment="1"/>
    <xf numFmtId="0" fontId="9" fillId="0" borderId="1" xfId="0" applyFont="1" applyBorder="1"/>
    <xf numFmtId="1" fontId="63" fillId="24" borderId="1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25" fillId="7" borderId="0" xfId="0" applyFont="1" applyFill="1" applyAlignment="1">
      <alignment horizontal="center"/>
    </xf>
    <xf numFmtId="168" fontId="25" fillId="7" borderId="0" xfId="0" applyNumberFormat="1" applyFont="1" applyFill="1" applyAlignment="1">
      <alignment horizontal="center"/>
    </xf>
    <xf numFmtId="167" fontId="25" fillId="0" borderId="0" xfId="0" applyNumberFormat="1" applyFont="1" applyAlignment="1">
      <alignment horizontal="center"/>
    </xf>
    <xf numFmtId="2" fontId="13" fillId="7" borderId="3" xfId="0" applyNumberFormat="1" applyFont="1" applyFill="1" applyBorder="1" applyAlignment="1">
      <alignment horizontal="center" vertical="center"/>
    </xf>
    <xf numFmtId="168" fontId="53" fillId="7" borderId="3" xfId="0" applyNumberFormat="1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78" xfId="0" applyFont="1" applyFill="1" applyBorder="1" applyAlignment="1">
      <alignment horizontal="center" vertical="center"/>
    </xf>
    <xf numFmtId="167" fontId="53" fillId="7" borderId="3" xfId="0" applyNumberFormat="1" applyFont="1" applyFill="1" applyBorder="1" applyAlignment="1">
      <alignment horizontal="center" vertical="center"/>
    </xf>
    <xf numFmtId="164" fontId="53" fillId="7" borderId="3" xfId="0" applyNumberFormat="1" applyFont="1" applyFill="1" applyBorder="1" applyAlignment="1">
      <alignment horizontal="center" vertical="center"/>
    </xf>
    <xf numFmtId="164" fontId="72" fillId="0" borderId="98" xfId="0" applyNumberFormat="1" applyFont="1" applyBorder="1" applyAlignment="1">
      <alignment horizontal="center" vertical="center"/>
    </xf>
    <xf numFmtId="164" fontId="73" fillId="0" borderId="99" xfId="0" applyNumberFormat="1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14" fontId="18" fillId="0" borderId="22" xfId="0" applyNumberFormat="1" applyFont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18" fillId="12" borderId="105" xfId="1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>
      <alignment horizontal="center" vertical="center" wrapText="1"/>
    </xf>
    <xf numFmtId="0" fontId="48" fillId="4" borderId="22" xfId="0" applyFont="1" applyFill="1" applyBorder="1" applyAlignment="1">
      <alignment horizontal="center" vertical="center" wrapText="1"/>
    </xf>
    <xf numFmtId="0" fontId="8" fillId="6" borderId="106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4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8" fillId="12" borderId="96" xfId="0" applyFont="1" applyFill="1" applyBorder="1" applyAlignment="1">
      <alignment horizontal="center" vertical="center" wrapText="1"/>
    </xf>
    <xf numFmtId="0" fontId="15" fillId="0" borderId="107" xfId="0" applyFont="1" applyBorder="1" applyAlignment="1" applyProtection="1">
      <alignment horizontal="center" vertical="center" wrapText="1"/>
      <protection hidden="1"/>
    </xf>
    <xf numFmtId="0" fontId="75" fillId="0" borderId="89" xfId="1" applyFont="1" applyBorder="1" applyAlignment="1" applyProtection="1">
      <alignment horizontal="left"/>
      <protection locked="0"/>
    </xf>
    <xf numFmtId="0" fontId="75" fillId="12" borderId="90" xfId="1" applyFont="1" applyFill="1" applyBorder="1" applyAlignment="1" applyProtection="1">
      <alignment horizontal="left"/>
      <protection locked="0"/>
    </xf>
    <xf numFmtId="0" fontId="75" fillId="0" borderId="90" xfId="1" applyFont="1" applyBorder="1" applyAlignment="1" applyProtection="1">
      <alignment horizontal="left"/>
      <protection locked="0"/>
    </xf>
    <xf numFmtId="0" fontId="33" fillId="10" borderId="73" xfId="0" applyFont="1" applyFill="1" applyBorder="1" applyAlignment="1"/>
    <xf numFmtId="0" fontId="33" fillId="0" borderId="75" xfId="0" applyFont="1" applyBorder="1" applyAlignment="1"/>
    <xf numFmtId="1" fontId="13" fillId="10" borderId="39" xfId="0" applyNumberFormat="1" applyFont="1" applyFill="1" applyBorder="1" applyAlignment="1" applyProtection="1">
      <alignment horizontal="center" vertical="center" wrapText="1"/>
      <protection locked="0"/>
    </xf>
    <xf numFmtId="0" fontId="13" fillId="10" borderId="39" xfId="0" applyFont="1" applyFill="1" applyBorder="1" applyAlignment="1" applyProtection="1">
      <alignment horizontal="center" vertical="center" wrapText="1"/>
      <protection locked="0"/>
    </xf>
    <xf numFmtId="2" fontId="13" fillId="10" borderId="39" xfId="0" applyNumberFormat="1" applyFont="1" applyFill="1" applyBorder="1" applyAlignment="1" applyProtection="1">
      <alignment horizontal="center" vertical="center"/>
      <protection hidden="1"/>
    </xf>
    <xf numFmtId="0" fontId="25" fillId="10" borderId="40" xfId="0" applyNumberFormat="1" applyFont="1" applyFill="1" applyBorder="1" applyAlignment="1" applyProtection="1">
      <alignment horizontal="center" vertical="center"/>
      <protection hidden="1"/>
    </xf>
    <xf numFmtId="0" fontId="9" fillId="0" borderId="53" xfId="0" applyFont="1" applyFill="1" applyBorder="1" applyAlignment="1" applyProtection="1">
      <alignment horizontal="center" vertical="center" wrapText="1"/>
      <protection hidden="1"/>
    </xf>
    <xf numFmtId="0" fontId="49" fillId="22" borderId="85" xfId="1" applyFont="1" applyFill="1" applyBorder="1" applyAlignment="1" applyProtection="1">
      <alignment horizontal="center" vertical="center"/>
      <protection hidden="1"/>
    </xf>
    <xf numFmtId="0" fontId="49" fillId="22" borderId="32" xfId="1" applyFont="1" applyFill="1" applyBorder="1" applyAlignment="1" applyProtection="1">
      <alignment horizontal="center" vertical="center"/>
      <protection hidden="1"/>
    </xf>
    <xf numFmtId="183" fontId="49" fillId="22" borderId="12" xfId="1" applyNumberFormat="1" applyFont="1" applyFill="1" applyBorder="1" applyAlignment="1" applyProtection="1">
      <alignment horizontal="center" vertical="center"/>
      <protection hidden="1"/>
    </xf>
    <xf numFmtId="183" fontId="49" fillId="22" borderId="24" xfId="1" applyNumberFormat="1" applyFont="1" applyFill="1" applyBorder="1" applyAlignment="1" applyProtection="1">
      <alignment horizontal="center" vertical="center"/>
      <protection hidden="1"/>
    </xf>
    <xf numFmtId="0" fontId="49" fillId="22" borderId="31" xfId="1" applyFont="1" applyFill="1" applyBorder="1" applyAlignment="1" applyProtection="1">
      <alignment horizontal="center" vertical="center"/>
      <protection hidden="1"/>
    </xf>
    <xf numFmtId="1" fontId="13" fillId="22" borderId="24" xfId="0" applyNumberFormat="1" applyFont="1" applyFill="1" applyBorder="1" applyAlignment="1" applyProtection="1">
      <alignment horizontal="center" vertical="center"/>
      <protection locked="0"/>
    </xf>
    <xf numFmtId="2" fontId="13" fillId="22" borderId="12" xfId="0" applyNumberFormat="1" applyFont="1" applyFill="1" applyBorder="1" applyAlignment="1" applyProtection="1">
      <alignment horizontal="center"/>
      <protection hidden="1"/>
    </xf>
    <xf numFmtId="2" fontId="13" fillId="22" borderId="89" xfId="0" applyNumberFormat="1" applyFont="1" applyFill="1" applyBorder="1" applyAlignment="1" applyProtection="1">
      <alignment horizontal="center" vertical="center"/>
      <protection locked="0"/>
    </xf>
    <xf numFmtId="41" fontId="49" fillId="12" borderId="8" xfId="3" applyFont="1" applyFill="1" applyBorder="1" applyAlignment="1" applyProtection="1">
      <alignment horizontal="center" vertical="center"/>
      <protection hidden="1"/>
    </xf>
    <xf numFmtId="41" fontId="49" fillId="12" borderId="33" xfId="3" applyFont="1" applyFill="1" applyBorder="1" applyAlignment="1" applyProtection="1">
      <alignment horizontal="center" vertical="center"/>
      <protection hidden="1"/>
    </xf>
    <xf numFmtId="183" fontId="49" fillId="12" borderId="1" xfId="1" applyNumberFormat="1" applyFont="1" applyFill="1" applyBorder="1" applyAlignment="1" applyProtection="1">
      <alignment horizontal="center" vertical="center"/>
      <protection hidden="1"/>
    </xf>
    <xf numFmtId="183" fontId="49" fillId="12" borderId="9" xfId="1" applyNumberFormat="1" applyFont="1" applyFill="1" applyBorder="1" applyAlignment="1" applyProtection="1">
      <alignment horizontal="center" vertical="center"/>
      <protection hidden="1"/>
    </xf>
    <xf numFmtId="0" fontId="49" fillId="12" borderId="8" xfId="1" applyFont="1" applyFill="1" applyBorder="1" applyAlignment="1" applyProtection="1">
      <alignment horizontal="center"/>
      <protection hidden="1"/>
    </xf>
    <xf numFmtId="0" fontId="49" fillId="12" borderId="27" xfId="1" applyFont="1" applyFill="1" applyBorder="1" applyAlignment="1" applyProtection="1">
      <alignment horizontal="center"/>
      <protection hidden="1"/>
    </xf>
    <xf numFmtId="2" fontId="13" fillId="12" borderId="9" xfId="0" applyNumberFormat="1" applyFont="1" applyFill="1" applyBorder="1" applyAlignment="1" applyProtection="1">
      <alignment horizontal="center" vertical="center"/>
      <protection locked="0"/>
    </xf>
    <xf numFmtId="2" fontId="13" fillId="12" borderId="1" xfId="0" applyNumberFormat="1" applyFont="1" applyFill="1" applyBorder="1" applyAlignment="1" applyProtection="1">
      <alignment horizontal="center" vertical="center"/>
      <protection hidden="1"/>
    </xf>
    <xf numFmtId="2" fontId="13" fillId="12" borderId="90" xfId="0" applyNumberFormat="1" applyFont="1" applyFill="1" applyBorder="1" applyAlignment="1" applyProtection="1">
      <alignment horizontal="center" vertical="center"/>
      <protection locked="0"/>
    </xf>
    <xf numFmtId="0" fontId="1" fillId="2" borderId="15" xfId="1" applyFont="1" applyFill="1" applyBorder="1" applyAlignment="1">
      <alignment horizontal="left"/>
    </xf>
    <xf numFmtId="0" fontId="1" fillId="2" borderId="16" xfId="1" applyFont="1" applyFill="1" applyBorder="1" applyAlignment="1">
      <alignment horizontal="left"/>
    </xf>
    <xf numFmtId="0" fontId="1" fillId="2" borderId="19" xfId="1" applyFont="1" applyFill="1" applyBorder="1" applyAlignment="1">
      <alignment horizontal="left"/>
    </xf>
    <xf numFmtId="0" fontId="1" fillId="2" borderId="20" xfId="1" applyFont="1" applyFill="1" applyBorder="1" applyAlignment="1">
      <alignment horizontal="left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8" xfId="1" applyFont="1" applyFill="1" applyBorder="1" applyAlignment="1" applyProtection="1">
      <alignment horizontal="left" vertical="center"/>
      <protection locked="0"/>
    </xf>
    <xf numFmtId="0" fontId="3" fillId="2" borderId="15" xfId="1" applyFont="1" applyFill="1" applyBorder="1" applyAlignment="1" applyProtection="1">
      <alignment horizontal="left"/>
      <protection locked="0"/>
    </xf>
    <xf numFmtId="0" fontId="3" fillId="2" borderId="16" xfId="1" applyFont="1" applyFill="1" applyBorder="1" applyAlignment="1" applyProtection="1">
      <alignment horizontal="left"/>
      <protection locked="0"/>
    </xf>
    <xf numFmtId="0" fontId="1" fillId="2" borderId="15" xfId="1" applyFont="1" applyFill="1" applyBorder="1" applyAlignment="1" applyProtection="1">
      <alignment horizontal="left"/>
      <protection locked="0"/>
    </xf>
    <xf numFmtId="0" fontId="1" fillId="2" borderId="16" xfId="1" applyFont="1" applyFill="1" applyBorder="1" applyAlignment="1" applyProtection="1">
      <alignment horizontal="left"/>
      <protection locked="0"/>
    </xf>
    <xf numFmtId="0" fontId="6" fillId="2" borderId="17" xfId="1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171" fontId="12" fillId="17" borderId="9" xfId="0" applyNumberFormat="1" applyFont="1" applyFill="1" applyBorder="1" applyAlignment="1" applyProtection="1">
      <alignment horizontal="center" vertical="center"/>
      <protection hidden="1"/>
    </xf>
    <xf numFmtId="171" fontId="12" fillId="17" borderId="27" xfId="0" applyNumberFormat="1" applyFont="1" applyFill="1" applyBorder="1" applyAlignment="1" applyProtection="1">
      <alignment horizontal="center" vertical="center"/>
      <protection hidden="1"/>
    </xf>
    <xf numFmtId="171" fontId="12" fillId="17" borderId="33" xfId="0" applyNumberFormat="1" applyFont="1" applyFill="1" applyBorder="1" applyAlignment="1" applyProtection="1">
      <alignment horizontal="center" vertical="center"/>
      <protection hidden="1"/>
    </xf>
    <xf numFmtId="0" fontId="69" fillId="26" borderId="53" xfId="0" applyFont="1" applyFill="1" applyBorder="1" applyAlignment="1">
      <alignment horizontal="center" vertical="center" wrapText="1"/>
    </xf>
    <xf numFmtId="0" fontId="69" fillId="26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9" fillId="22" borderId="24" xfId="1" applyFont="1" applyFill="1" applyBorder="1" applyAlignment="1" applyProtection="1">
      <alignment horizontal="center" vertical="center"/>
      <protection hidden="1"/>
    </xf>
    <xf numFmtId="0" fontId="49" fillId="22" borderId="86" xfId="1" applyFont="1" applyFill="1" applyBorder="1" applyAlignment="1" applyProtection="1">
      <alignment horizontal="center" vertical="center"/>
      <protection hidden="1"/>
    </xf>
    <xf numFmtId="0" fontId="49" fillId="12" borderId="9" xfId="1" applyFont="1" applyFill="1" applyBorder="1" applyAlignment="1" applyProtection="1">
      <alignment horizontal="center" vertical="center"/>
      <protection hidden="1"/>
    </xf>
    <xf numFmtId="0" fontId="49" fillId="12" borderId="87" xfId="1" applyFont="1" applyFill="1" applyBorder="1" applyAlignment="1" applyProtection="1">
      <alignment horizontal="center" vertical="center"/>
      <protection hidden="1"/>
    </xf>
    <xf numFmtId="41" fontId="26" fillId="26" borderId="10" xfId="3" applyFont="1" applyFill="1" applyBorder="1" applyAlignment="1" applyProtection="1">
      <alignment horizontal="center" vertical="center"/>
      <protection hidden="1"/>
    </xf>
    <xf numFmtId="41" fontId="26" fillId="26" borderId="28" xfId="3" applyFont="1" applyFill="1" applyBorder="1" applyAlignment="1" applyProtection="1">
      <alignment horizontal="center" vertical="center"/>
      <protection hidden="1"/>
    </xf>
    <xf numFmtId="182" fontId="26" fillId="26" borderId="82" xfId="3" applyNumberFormat="1" applyFont="1" applyFill="1" applyBorder="1" applyAlignment="1" applyProtection="1">
      <alignment horizontal="center" vertical="center"/>
      <protection hidden="1"/>
    </xf>
    <xf numFmtId="182" fontId="26" fillId="26" borderId="83" xfId="3" applyNumberFormat="1" applyFont="1" applyFill="1" applyBorder="1" applyAlignment="1" applyProtection="1">
      <alignment horizontal="center" vertical="center"/>
      <protection hidden="1"/>
    </xf>
    <xf numFmtId="182" fontId="26" fillId="26" borderId="84" xfId="3" applyNumberFormat="1" applyFont="1" applyFill="1" applyBorder="1" applyAlignment="1" applyProtection="1">
      <alignment horizontal="center" vertical="center"/>
      <protection hidden="1"/>
    </xf>
    <xf numFmtId="181" fontId="49" fillId="21" borderId="10" xfId="1" applyNumberFormat="1" applyFont="1" applyFill="1" applyBorder="1" applyAlignment="1" applyProtection="1">
      <alignment horizontal="center" vertical="center"/>
      <protection hidden="1"/>
    </xf>
    <xf numFmtId="181" fontId="49" fillId="21" borderId="28" xfId="1" applyNumberFormat="1" applyFont="1" applyFill="1" applyBorder="1" applyAlignment="1" applyProtection="1">
      <alignment horizontal="center" vertical="center"/>
      <protection hidden="1"/>
    </xf>
    <xf numFmtId="181" fontId="49" fillId="21" borderId="11" xfId="1" applyNumberFormat="1" applyFont="1" applyFill="1" applyBorder="1" applyAlignment="1" applyProtection="1">
      <alignment horizontal="center" vertical="center"/>
      <protection hidden="1"/>
    </xf>
    <xf numFmtId="181" fontId="26" fillId="26" borderId="72" xfId="1" applyNumberFormat="1" applyFont="1" applyFill="1" applyBorder="1" applyAlignment="1" applyProtection="1">
      <alignment horizontal="center" vertical="center"/>
      <protection hidden="1"/>
    </xf>
    <xf numFmtId="181" fontId="26" fillId="26" borderId="69" xfId="1" applyNumberFormat="1" applyFont="1" applyFill="1" applyBorder="1" applyAlignment="1" applyProtection="1">
      <alignment horizontal="center" vertical="center"/>
      <protection hidden="1"/>
    </xf>
    <xf numFmtId="181" fontId="26" fillId="26" borderId="68" xfId="1" applyNumberFormat="1" applyFont="1" applyFill="1" applyBorder="1" applyAlignment="1" applyProtection="1">
      <alignment horizontal="center" vertical="center"/>
      <protection hidden="1"/>
    </xf>
    <xf numFmtId="4" fontId="9" fillId="0" borderId="9" xfId="0" applyNumberFormat="1" applyFont="1" applyFill="1" applyBorder="1" applyAlignment="1" applyProtection="1">
      <alignment horizontal="left" vertical="center"/>
      <protection locked="0" hidden="1"/>
    </xf>
    <xf numFmtId="4" fontId="9" fillId="0" borderId="33" xfId="0" applyNumberFormat="1" applyFont="1" applyFill="1" applyBorder="1" applyAlignment="1" applyProtection="1">
      <alignment horizontal="left" vertical="center"/>
      <protection locked="0" hidden="1"/>
    </xf>
    <xf numFmtId="171" fontId="12" fillId="4" borderId="9" xfId="0" applyNumberFormat="1" applyFont="1" applyFill="1" applyBorder="1" applyAlignment="1" applyProtection="1">
      <alignment horizontal="center" vertical="center"/>
      <protection hidden="1"/>
    </xf>
    <xf numFmtId="171" fontId="12" fillId="4" borderId="27" xfId="0" applyNumberFormat="1" applyFont="1" applyFill="1" applyBorder="1" applyAlignment="1" applyProtection="1">
      <alignment horizontal="center" vertical="center"/>
      <protection hidden="1"/>
    </xf>
    <xf numFmtId="171" fontId="12" fillId="4" borderId="33" xfId="0" applyNumberFormat="1" applyFont="1" applyFill="1" applyBorder="1" applyAlignment="1" applyProtection="1">
      <alignment horizontal="center" vertical="center"/>
      <protection hidden="1"/>
    </xf>
    <xf numFmtId="167" fontId="55" fillId="3" borderId="0" xfId="0" applyNumberFormat="1" applyFont="1" applyFill="1" applyBorder="1" applyAlignment="1">
      <alignment horizontal="center" vertical="center"/>
    </xf>
    <xf numFmtId="167" fontId="55" fillId="3" borderId="103" xfId="0" applyNumberFormat="1" applyFont="1" applyFill="1" applyBorder="1" applyAlignment="1">
      <alignment horizontal="center" vertical="center"/>
    </xf>
    <xf numFmtId="0" fontId="69" fillId="26" borderId="0" xfId="0" applyFont="1" applyFill="1" applyBorder="1" applyAlignment="1">
      <alignment horizontal="center" vertical="center"/>
    </xf>
    <xf numFmtId="0" fontId="69" fillId="26" borderId="43" xfId="0" applyFont="1" applyFill="1" applyBorder="1" applyAlignment="1">
      <alignment horizontal="center" vertical="center"/>
    </xf>
    <xf numFmtId="173" fontId="12" fillId="0" borderId="9" xfId="0" applyNumberFormat="1" applyFont="1" applyFill="1" applyBorder="1" applyAlignment="1" applyProtection="1">
      <alignment horizontal="center" vertical="center"/>
      <protection hidden="1"/>
    </xf>
    <xf numFmtId="173" fontId="12" fillId="0" borderId="33" xfId="0" applyNumberFormat="1" applyFont="1" applyFill="1" applyBorder="1" applyAlignment="1" applyProtection="1">
      <alignment horizontal="center" vertical="center"/>
      <protection hidden="1"/>
    </xf>
    <xf numFmtId="173" fontId="12" fillId="0" borderId="27" xfId="0" applyNumberFormat="1" applyFont="1" applyFill="1" applyBorder="1" applyAlignment="1" applyProtection="1">
      <alignment horizontal="center" vertical="center"/>
      <protection hidden="1"/>
    </xf>
    <xf numFmtId="4" fontId="12" fillId="0" borderId="53" xfId="0" applyNumberFormat="1" applyFont="1" applyFill="1" applyBorder="1" applyAlignment="1" applyProtection="1">
      <alignment horizontal="center"/>
      <protection locked="0" hidden="1"/>
    </xf>
    <xf numFmtId="4" fontId="12" fillId="0" borderId="0" xfId="0" applyNumberFormat="1" applyFont="1" applyFill="1" applyBorder="1" applyAlignment="1" applyProtection="1">
      <alignment horizontal="center"/>
      <protection locked="0" hidden="1"/>
    </xf>
    <xf numFmtId="4" fontId="10" fillId="0" borderId="29" xfId="0" applyNumberFormat="1" applyFont="1" applyFill="1" applyBorder="1" applyAlignment="1" applyProtection="1">
      <alignment horizontal="center" vertical="center"/>
      <protection locked="0" hidden="1"/>
    </xf>
    <xf numFmtId="4" fontId="10" fillId="0" borderId="30" xfId="0" applyNumberFormat="1" applyFont="1" applyFill="1" applyBorder="1" applyAlignment="1" applyProtection="1">
      <alignment horizontal="center" vertical="center"/>
      <protection locked="0" hidden="1"/>
    </xf>
    <xf numFmtId="4" fontId="10" fillId="0" borderId="24" xfId="0" applyNumberFormat="1" applyFont="1" applyFill="1" applyBorder="1" applyAlignment="1" applyProtection="1">
      <alignment horizontal="center" vertical="center"/>
      <protection locked="0" hidden="1"/>
    </xf>
    <xf numFmtId="4" fontId="10" fillId="0" borderId="32" xfId="0" applyNumberFormat="1" applyFont="1" applyFill="1" applyBorder="1" applyAlignment="1" applyProtection="1">
      <alignment horizontal="center" vertical="center"/>
      <protection locked="0" hidden="1"/>
    </xf>
    <xf numFmtId="171" fontId="13" fillId="16" borderId="29" xfId="0" applyNumberFormat="1" applyFont="1" applyFill="1" applyBorder="1" applyAlignment="1" applyProtection="1">
      <alignment horizontal="center" vertical="center"/>
      <protection hidden="1"/>
    </xf>
    <xf numFmtId="171" fontId="13" fillId="16" borderId="24" xfId="0" applyNumberFormat="1" applyFont="1" applyFill="1" applyBorder="1" applyAlignment="1" applyProtection="1">
      <alignment horizontal="center" vertical="center"/>
      <protection hidden="1"/>
    </xf>
    <xf numFmtId="173" fontId="12" fillId="0" borderId="81" xfId="0" applyNumberFormat="1" applyFont="1" applyFill="1" applyBorder="1" applyAlignment="1" applyProtection="1">
      <alignment horizontal="center" vertical="center"/>
      <protection hidden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28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22" fontId="67" fillId="26" borderId="0" xfId="0" applyNumberFormat="1" applyFont="1" applyFill="1" applyAlignment="1">
      <alignment horizontal="center" vertical="center"/>
    </xf>
    <xf numFmtId="0" fontId="55" fillId="7" borderId="21" xfId="0" applyFont="1" applyFill="1" applyBorder="1" applyAlignment="1">
      <alignment horizontal="center" vertical="center"/>
    </xf>
    <xf numFmtId="0" fontId="55" fillId="7" borderId="22" xfId="0" applyFont="1" applyFill="1" applyBorder="1" applyAlignment="1">
      <alignment horizontal="center" vertical="center"/>
    </xf>
    <xf numFmtId="171" fontId="13" fillId="16" borderId="53" xfId="0" applyNumberFormat="1" applyFont="1" applyFill="1" applyBorder="1" applyAlignment="1" applyProtection="1">
      <alignment horizontal="center" vertical="center"/>
      <protection hidden="1"/>
    </xf>
    <xf numFmtId="171" fontId="13" fillId="16" borderId="30" xfId="0" applyNumberFormat="1" applyFont="1" applyFill="1" applyBorder="1" applyAlignment="1" applyProtection="1">
      <alignment horizontal="center" vertical="center"/>
      <protection hidden="1"/>
    </xf>
    <xf numFmtId="171" fontId="13" fillId="16" borderId="31" xfId="0" applyNumberFormat="1" applyFont="1" applyFill="1" applyBorder="1" applyAlignment="1" applyProtection="1">
      <alignment horizontal="center" vertical="center"/>
      <protection hidden="1"/>
    </xf>
    <xf numFmtId="171" fontId="13" fillId="16" borderId="32" xfId="0" applyNumberFormat="1" applyFont="1" applyFill="1" applyBorder="1" applyAlignment="1" applyProtection="1">
      <alignment horizontal="center" vertical="center"/>
      <protection hidden="1"/>
    </xf>
    <xf numFmtId="172" fontId="12" fillId="0" borderId="24" xfId="0" applyNumberFormat="1" applyFont="1" applyFill="1" applyBorder="1" applyAlignment="1" applyProtection="1">
      <alignment horizontal="right" vertical="center"/>
      <protection hidden="1"/>
    </xf>
    <xf numFmtId="172" fontId="12" fillId="0" borderId="31" xfId="0" applyNumberFormat="1" applyFont="1" applyFill="1" applyBorder="1" applyAlignment="1" applyProtection="1">
      <alignment horizontal="right" vertical="center"/>
      <protection hidden="1"/>
    </xf>
    <xf numFmtId="172" fontId="12" fillId="0" borderId="47" xfId="0" applyNumberFormat="1" applyFont="1" applyFill="1" applyBorder="1" applyAlignment="1" applyProtection="1">
      <alignment horizontal="right" vertical="center"/>
      <protection hidden="1"/>
    </xf>
    <xf numFmtId="171" fontId="17" fillId="15" borderId="102" xfId="0" applyNumberFormat="1" applyFont="1" applyFill="1" applyBorder="1" applyAlignment="1" applyProtection="1">
      <alignment horizontal="center" vertical="center"/>
      <protection hidden="1"/>
    </xf>
    <xf numFmtId="171" fontId="17" fillId="15" borderId="0" xfId="0" applyNumberFormat="1" applyFont="1" applyFill="1" applyBorder="1" applyAlignment="1" applyProtection="1">
      <alignment horizontal="center" vertical="center"/>
      <protection hidden="1"/>
    </xf>
    <xf numFmtId="171" fontId="17" fillId="15" borderId="103" xfId="0" applyNumberFormat="1" applyFont="1" applyFill="1" applyBorder="1" applyAlignment="1" applyProtection="1">
      <alignment horizontal="center" vertical="center"/>
      <protection hidden="1"/>
    </xf>
    <xf numFmtId="164" fontId="74" fillId="9" borderId="25" xfId="0" applyNumberFormat="1" applyFont="1" applyFill="1" applyBorder="1" applyAlignment="1">
      <alignment horizontal="center" vertical="center" wrapText="1"/>
    </xf>
    <xf numFmtId="164" fontId="74" fillId="9" borderId="26" xfId="0" applyNumberFormat="1" applyFont="1" applyFill="1" applyBorder="1" applyAlignment="1">
      <alignment horizontal="center" vertical="center" wrapText="1"/>
    </xf>
    <xf numFmtId="0" fontId="33" fillId="7" borderId="72" xfId="0" applyFont="1" applyFill="1" applyBorder="1" applyAlignment="1">
      <alignment horizontal="center" vertical="center"/>
    </xf>
    <xf numFmtId="0" fontId="33" fillId="7" borderId="79" xfId="0" applyFont="1" applyFill="1" applyBorder="1" applyAlignment="1">
      <alignment horizontal="center" vertical="center"/>
    </xf>
    <xf numFmtId="0" fontId="13" fillId="7" borderId="8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184" fontId="13" fillId="12" borderId="95" xfId="0" applyNumberFormat="1" applyFont="1" applyFill="1" applyBorder="1" applyAlignment="1">
      <alignment horizontal="center" vertical="center"/>
    </xf>
    <xf numFmtId="184" fontId="13" fillId="12" borderId="96" xfId="0" applyNumberFormat="1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9" fillId="0" borderId="57" xfId="0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0" fontId="37" fillId="0" borderId="59" xfId="1" applyFont="1" applyBorder="1" applyAlignment="1">
      <alignment horizontal="center" vertical="center"/>
    </xf>
    <xf numFmtId="178" fontId="23" fillId="0" borderId="24" xfId="0" applyNumberFormat="1" applyFont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29" fillId="0" borderId="73" xfId="0" applyFont="1" applyBorder="1" applyAlignment="1">
      <alignment horizontal="left" vertical="center"/>
    </xf>
    <xf numFmtId="0" fontId="29" fillId="0" borderId="74" xfId="0" applyFont="1" applyBorder="1" applyAlignment="1">
      <alignment horizontal="left" vertical="center"/>
    </xf>
    <xf numFmtId="172" fontId="11" fillId="0" borderId="70" xfId="0" applyNumberFormat="1" applyFont="1" applyBorder="1" applyAlignment="1">
      <alignment horizontal="center" vertical="center"/>
    </xf>
    <xf numFmtId="44" fontId="11" fillId="0" borderId="71" xfId="0" applyNumberFormat="1" applyFont="1" applyBorder="1" applyAlignment="1">
      <alignment horizontal="center" vertical="center"/>
    </xf>
    <xf numFmtId="164" fontId="11" fillId="3" borderId="25" xfId="0" applyNumberFormat="1" applyFont="1" applyFill="1" applyBorder="1" applyAlignment="1">
      <alignment horizontal="center" vertical="center"/>
    </xf>
    <xf numFmtId="164" fontId="11" fillId="3" borderId="26" xfId="0" applyNumberFormat="1" applyFont="1" applyFill="1" applyBorder="1" applyAlignment="1">
      <alignment horizontal="center" vertical="center"/>
    </xf>
    <xf numFmtId="164" fontId="71" fillId="9" borderId="25" xfId="0" applyNumberFormat="1" applyFont="1" applyFill="1" applyBorder="1" applyAlignment="1">
      <alignment horizontal="center" vertical="center"/>
    </xf>
    <xf numFmtId="164" fontId="71" fillId="9" borderId="2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172" fontId="12" fillId="0" borderId="29" xfId="0" applyNumberFormat="1" applyFont="1" applyFill="1" applyBorder="1" applyAlignment="1" applyProtection="1">
      <alignment horizontal="center" vertical="center" wrapText="1"/>
      <protection hidden="1"/>
    </xf>
    <xf numFmtId="172" fontId="12" fillId="0" borderId="53" xfId="0" applyNumberFormat="1" applyFont="1" applyFill="1" applyBorder="1" applyAlignment="1" applyProtection="1">
      <alignment horizontal="center" vertical="center" wrapText="1"/>
      <protection hidden="1"/>
    </xf>
    <xf numFmtId="172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172" fontId="12" fillId="0" borderId="24" xfId="0" applyNumberFormat="1" applyFont="1" applyFill="1" applyBorder="1" applyAlignment="1" applyProtection="1">
      <alignment horizontal="center" vertical="center" wrapText="1"/>
      <protection hidden="1"/>
    </xf>
    <xf numFmtId="17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172" fontId="12" fillId="0" borderId="32" xfId="0" applyNumberFormat="1" applyFont="1" applyFill="1" applyBorder="1" applyAlignment="1" applyProtection="1">
      <alignment horizontal="center" vertical="center" wrapText="1"/>
      <protection hidden="1"/>
    </xf>
    <xf numFmtId="171" fontId="26" fillId="2" borderId="53" xfId="0" applyNumberFormat="1" applyFont="1" applyFill="1" applyBorder="1" applyAlignment="1" applyProtection="1">
      <alignment horizontal="center" vertical="center"/>
      <protection hidden="1"/>
    </xf>
    <xf numFmtId="171" fontId="26" fillId="2" borderId="0" xfId="0" applyNumberFormat="1" applyFont="1" applyFill="1" applyBorder="1" applyAlignment="1" applyProtection="1">
      <alignment horizontal="center" vertical="center"/>
      <protection hidden="1"/>
    </xf>
    <xf numFmtId="171" fontId="26" fillId="15" borderId="53" xfId="0" applyNumberFormat="1" applyFont="1" applyFill="1" applyBorder="1" applyAlignment="1" applyProtection="1">
      <alignment horizontal="center" vertical="center"/>
      <protection hidden="1"/>
    </xf>
    <xf numFmtId="171" fontId="26" fillId="15" borderId="0" xfId="0" applyNumberFormat="1" applyFont="1" applyFill="1" applyBorder="1" applyAlignment="1" applyProtection="1">
      <alignment horizontal="center" vertical="center"/>
      <protection hidden="1"/>
    </xf>
    <xf numFmtId="4" fontId="10" fillId="0" borderId="53" xfId="0" applyNumberFormat="1" applyFont="1" applyFill="1" applyBorder="1" applyAlignment="1" applyProtection="1">
      <alignment horizontal="center" vertical="center"/>
      <protection locked="0" hidden="1"/>
    </xf>
    <xf numFmtId="4" fontId="10" fillId="0" borderId="31" xfId="0" applyNumberFormat="1" applyFont="1" applyFill="1" applyBorder="1" applyAlignment="1" applyProtection="1">
      <alignment horizontal="center" vertical="center"/>
      <protection locked="0" hidden="1"/>
    </xf>
    <xf numFmtId="2" fontId="51" fillId="0" borderId="21" xfId="0" applyNumberFormat="1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 vertical="center"/>
    </xf>
    <xf numFmtId="3" fontId="9" fillId="0" borderId="9" xfId="0" applyNumberFormat="1" applyFont="1" applyFill="1" applyBorder="1" applyAlignment="1" applyProtection="1">
      <alignment horizontal="left" vertical="center"/>
      <protection hidden="1"/>
    </xf>
    <xf numFmtId="3" fontId="9" fillId="0" borderId="33" xfId="0" applyNumberFormat="1" applyFont="1" applyFill="1" applyBorder="1" applyAlignment="1" applyProtection="1">
      <alignment horizontal="left" vertical="center"/>
      <protection hidden="1"/>
    </xf>
    <xf numFmtId="0" fontId="18" fillId="19" borderId="21" xfId="0" applyNumberFormat="1" applyFont="1" applyFill="1" applyBorder="1" applyAlignment="1" applyProtection="1">
      <alignment horizontal="center" vertical="center" wrapText="1"/>
      <protection hidden="1"/>
    </xf>
    <xf numFmtId="0" fontId="18" fillId="19" borderId="38" xfId="0" applyNumberFormat="1" applyFont="1" applyFill="1" applyBorder="1" applyAlignment="1" applyProtection="1">
      <alignment horizontal="center" vertical="center" wrapText="1"/>
      <protection hidden="1"/>
    </xf>
    <xf numFmtId="0" fontId="18" fillId="19" borderId="12" xfId="0" applyNumberFormat="1" applyFont="1" applyFill="1" applyBorder="1" applyAlignment="1" applyProtection="1">
      <alignment horizontal="center" vertical="center" wrapText="1"/>
      <protection hidden="1"/>
    </xf>
    <xf numFmtId="171" fontId="11" fillId="13" borderId="100" xfId="0" applyNumberFormat="1" applyFont="1" applyFill="1" applyBorder="1" applyAlignment="1" applyProtection="1">
      <alignment horizontal="center" vertical="center" wrapText="1"/>
      <protection hidden="1"/>
    </xf>
    <xf numFmtId="171" fontId="11" fillId="13" borderId="64" xfId="0" applyNumberFormat="1" applyFont="1" applyFill="1" applyBorder="1" applyAlignment="1" applyProtection="1">
      <alignment horizontal="center" vertical="center" wrapText="1"/>
      <protection hidden="1"/>
    </xf>
    <xf numFmtId="171" fontId="11" fillId="13" borderId="101" xfId="0" applyNumberFormat="1" applyFont="1" applyFill="1" applyBorder="1" applyAlignment="1" applyProtection="1">
      <alignment horizontal="center" vertical="center" wrapText="1"/>
      <protection hidden="1"/>
    </xf>
    <xf numFmtId="2" fontId="52" fillId="0" borderId="21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left" vertical="center"/>
      <protection locked="0" hidden="1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" fontId="38" fillId="0" borderId="29" xfId="0" applyNumberFormat="1" applyFont="1" applyBorder="1" applyAlignment="1">
      <alignment horizontal="center" vertical="center"/>
    </xf>
    <xf numFmtId="1" fontId="38" fillId="0" borderId="24" xfId="0" applyNumberFormat="1" applyFont="1" applyBorder="1" applyAlignment="1">
      <alignment horizontal="center" vertical="center"/>
    </xf>
    <xf numFmtId="172" fontId="35" fillId="6" borderId="25" xfId="0" applyNumberFormat="1" applyFont="1" applyFill="1" applyBorder="1" applyAlignment="1" applyProtection="1">
      <alignment horizontal="center" vertical="center"/>
      <protection hidden="1"/>
    </xf>
    <xf numFmtId="172" fontId="35" fillId="6" borderId="26" xfId="0" applyNumberFormat="1" applyFont="1" applyFill="1" applyBorder="1" applyAlignment="1" applyProtection="1">
      <alignment horizontal="center" vertical="center"/>
      <protection hidden="1"/>
    </xf>
    <xf numFmtId="170" fontId="12" fillId="5" borderId="29" xfId="0" applyNumberFormat="1" applyFont="1" applyFill="1" applyBorder="1" applyAlignment="1" applyProtection="1">
      <alignment horizontal="center" vertical="center"/>
      <protection hidden="1"/>
    </xf>
    <xf numFmtId="170" fontId="12" fillId="5" borderId="30" xfId="0" applyNumberFormat="1" applyFont="1" applyFill="1" applyBorder="1" applyAlignment="1" applyProtection="1">
      <alignment horizontal="center" vertical="center"/>
      <protection hidden="1"/>
    </xf>
    <xf numFmtId="170" fontId="12" fillId="5" borderId="24" xfId="0" applyNumberFormat="1" applyFont="1" applyFill="1" applyBorder="1" applyAlignment="1" applyProtection="1">
      <alignment horizontal="center" vertical="center"/>
      <protection hidden="1"/>
    </xf>
    <xf numFmtId="170" fontId="12" fillId="5" borderId="32" xfId="0" applyNumberFormat="1" applyFont="1" applyFill="1" applyBorder="1" applyAlignment="1" applyProtection="1">
      <alignment horizontal="center" vertical="center"/>
      <protection hidden="1"/>
    </xf>
    <xf numFmtId="171" fontId="12" fillId="13" borderId="53" xfId="0" applyNumberFormat="1" applyFont="1" applyFill="1" applyBorder="1" applyAlignment="1" applyProtection="1">
      <alignment horizontal="center" vertical="center"/>
      <protection hidden="1"/>
    </xf>
    <xf numFmtId="171" fontId="12" fillId="13" borderId="0" xfId="0" applyNumberFormat="1" applyFont="1" applyFill="1" applyBorder="1" applyAlignment="1" applyProtection="1">
      <alignment horizontal="center" vertical="center"/>
      <protection hidden="1"/>
    </xf>
    <xf numFmtId="171" fontId="12" fillId="13" borderId="93" xfId="0" applyNumberFormat="1" applyFont="1" applyFill="1" applyBorder="1" applyAlignment="1" applyProtection="1">
      <alignment horizontal="center" vertical="center"/>
      <protection hidden="1"/>
    </xf>
    <xf numFmtId="0" fontId="11" fillId="10" borderId="25" xfId="0" applyNumberFormat="1" applyFont="1" applyFill="1" applyBorder="1" applyAlignment="1" applyProtection="1">
      <alignment horizontal="center" vertical="center"/>
      <protection hidden="1"/>
    </xf>
    <xf numFmtId="0" fontId="11" fillId="10" borderId="26" xfId="0" applyNumberFormat="1" applyFont="1" applyFill="1" applyBorder="1" applyAlignment="1" applyProtection="1">
      <alignment horizontal="center" vertical="center"/>
      <protection hidden="1"/>
    </xf>
    <xf numFmtId="171" fontId="29" fillId="17" borderId="91" xfId="0" applyNumberFormat="1" applyFont="1" applyFill="1" applyBorder="1" applyAlignment="1" applyProtection="1">
      <alignment horizontal="center" vertical="center" textRotation="90"/>
      <protection hidden="1"/>
    </xf>
    <xf numFmtId="171" fontId="29" fillId="17" borderId="42" xfId="0" applyNumberFormat="1" applyFont="1" applyFill="1" applyBorder="1" applyAlignment="1" applyProtection="1">
      <alignment horizontal="center" vertical="center" textRotation="90"/>
      <protection hidden="1"/>
    </xf>
    <xf numFmtId="171" fontId="29" fillId="17" borderId="92" xfId="0" applyNumberFormat="1" applyFont="1" applyFill="1" applyBorder="1" applyAlignment="1" applyProtection="1">
      <alignment horizontal="center" vertical="center" textRotation="90"/>
      <protection hidden="1"/>
    </xf>
    <xf numFmtId="0" fontId="9" fillId="0" borderId="29" xfId="0" applyFont="1" applyFill="1" applyBorder="1" applyAlignment="1" applyProtection="1">
      <alignment horizontal="center" vertical="center" wrapText="1"/>
      <protection hidden="1"/>
    </xf>
    <xf numFmtId="0" fontId="9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67" fillId="27" borderId="55" xfId="2" applyFont="1" applyFill="1" applyBorder="1" applyAlignment="1" applyProtection="1">
      <alignment horizontal="center" vertical="center"/>
      <protection hidden="1"/>
    </xf>
    <xf numFmtId="0" fontId="67" fillId="27" borderId="65" xfId="2" applyFont="1" applyFill="1" applyBorder="1" applyAlignment="1" applyProtection="1">
      <alignment horizontal="center" vertical="center"/>
      <protection hidden="1"/>
    </xf>
    <xf numFmtId="0" fontId="67" fillId="27" borderId="56" xfId="2" applyFont="1" applyFill="1" applyBorder="1" applyAlignment="1" applyProtection="1">
      <alignment horizontal="center" vertical="center"/>
      <protection hidden="1"/>
    </xf>
    <xf numFmtId="0" fontId="9" fillId="5" borderId="29" xfId="0" applyFont="1" applyFill="1" applyBorder="1" applyAlignment="1" applyProtection="1">
      <alignment horizontal="center" vertical="center"/>
      <protection hidden="1"/>
    </xf>
    <xf numFmtId="0" fontId="9" fillId="5" borderId="30" xfId="0" applyFont="1" applyFill="1" applyBorder="1" applyAlignment="1" applyProtection="1">
      <alignment horizontal="center" vertical="center"/>
      <protection hidden="1"/>
    </xf>
    <xf numFmtId="0" fontId="9" fillId="5" borderId="24" xfId="0" applyFont="1" applyFill="1" applyBorder="1" applyAlignment="1" applyProtection="1">
      <alignment horizontal="center" vertical="center"/>
      <protection hidden="1"/>
    </xf>
    <xf numFmtId="0" fontId="9" fillId="5" borderId="32" xfId="0" applyFont="1" applyFill="1" applyBorder="1" applyAlignment="1" applyProtection="1">
      <alignment horizontal="center" vertical="center"/>
      <protection hidden="1"/>
    </xf>
    <xf numFmtId="0" fontId="19" fillId="26" borderId="9" xfId="0" applyFont="1" applyFill="1" applyBorder="1" applyAlignment="1" applyProtection="1">
      <alignment horizontal="center"/>
      <protection hidden="1"/>
    </xf>
    <xf numFmtId="0" fontId="19" fillId="26" borderId="27" xfId="0" applyFont="1" applyFill="1" applyBorder="1" applyAlignment="1" applyProtection="1">
      <alignment horizontal="center"/>
      <protection hidden="1"/>
    </xf>
    <xf numFmtId="0" fontId="19" fillId="26" borderId="33" xfId="0" applyFont="1" applyFill="1" applyBorder="1" applyAlignment="1" applyProtection="1">
      <alignment horizontal="center"/>
      <protection hidden="1"/>
    </xf>
    <xf numFmtId="0" fontId="13" fillId="12" borderId="9" xfId="0" applyFont="1" applyFill="1" applyBorder="1" applyAlignment="1" applyProtection="1">
      <alignment horizontal="center" vertical="center"/>
      <protection locked="0"/>
    </xf>
    <xf numFmtId="0" fontId="13" fillId="12" borderId="27" xfId="0" applyFont="1" applyFill="1" applyBorder="1" applyAlignment="1" applyProtection="1">
      <alignment horizontal="center" vertical="center"/>
      <protection locked="0"/>
    </xf>
    <xf numFmtId="0" fontId="13" fillId="12" borderId="33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center" vertical="center"/>
      <protection hidden="1"/>
    </xf>
    <xf numFmtId="0" fontId="25" fillId="10" borderId="40" xfId="0" applyNumberFormat="1" applyFont="1" applyFill="1" applyBorder="1" applyAlignment="1" applyProtection="1">
      <alignment horizontal="center" vertical="center"/>
      <protection hidden="1"/>
    </xf>
    <xf numFmtId="0" fontId="25" fillId="10" borderId="41" xfId="0" applyNumberFormat="1" applyFont="1" applyFill="1" applyBorder="1" applyAlignment="1" applyProtection="1">
      <alignment horizontal="center" vertical="center"/>
      <protection hidden="1"/>
    </xf>
    <xf numFmtId="179" fontId="9" fillId="14" borderId="25" xfId="0" applyNumberFormat="1" applyFont="1" applyFill="1" applyBorder="1" applyAlignment="1" applyProtection="1">
      <alignment horizontal="center" vertical="center"/>
      <protection hidden="1"/>
    </xf>
    <xf numFmtId="179" fontId="9" fillId="14" borderId="26" xfId="0" applyNumberFormat="1" applyFont="1" applyFill="1" applyBorder="1" applyAlignment="1" applyProtection="1">
      <alignment horizontal="center" vertical="center"/>
      <protection hidden="1"/>
    </xf>
    <xf numFmtId="2" fontId="33" fillId="0" borderId="62" xfId="0" applyNumberFormat="1" applyFont="1" applyBorder="1" applyAlignment="1" applyProtection="1">
      <alignment horizontal="center" vertical="center"/>
      <protection hidden="1"/>
    </xf>
    <xf numFmtId="2" fontId="33" fillId="0" borderId="63" xfId="0" applyNumberFormat="1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6" borderId="44" xfId="0" applyFont="1" applyFill="1" applyBorder="1" applyAlignment="1" applyProtection="1">
      <alignment horizontal="center" vertical="center"/>
      <protection hidden="1"/>
    </xf>
    <xf numFmtId="0" fontId="8" fillId="6" borderId="24" xfId="0" applyFont="1" applyFill="1" applyBorder="1" applyAlignment="1" applyProtection="1">
      <alignment horizontal="center" vertical="center"/>
      <protection hidden="1"/>
    </xf>
    <xf numFmtId="172" fontId="24" fillId="0" borderId="38" xfId="0" applyNumberFormat="1" applyFont="1" applyFill="1" applyBorder="1" applyAlignment="1" applyProtection="1">
      <alignment horizontal="center" vertical="top" wrapText="1"/>
      <protection hidden="1"/>
    </xf>
    <xf numFmtId="172" fontId="24" fillId="0" borderId="42" xfId="0" applyNumberFormat="1" applyFont="1" applyFill="1" applyBorder="1" applyAlignment="1" applyProtection="1">
      <alignment horizontal="center" vertical="top" wrapText="1"/>
      <protection hidden="1"/>
    </xf>
    <xf numFmtId="0" fontId="9" fillId="0" borderId="94" xfId="0" applyFont="1" applyBorder="1" applyAlignment="1" applyProtection="1">
      <alignment horizontal="center" vertical="center" wrapText="1"/>
      <protection hidden="1"/>
    </xf>
    <xf numFmtId="0" fontId="9" fillId="0" borderId="63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left" vertical="center"/>
      <protection hidden="1"/>
    </xf>
    <xf numFmtId="0" fontId="9" fillId="0" borderId="33" xfId="0" applyFont="1" applyFill="1" applyBorder="1" applyAlignment="1" applyProtection="1">
      <alignment horizontal="left" vertical="center"/>
      <protection hidden="1"/>
    </xf>
    <xf numFmtId="172" fontId="35" fillId="6" borderId="34" xfId="0" applyNumberFormat="1" applyFont="1" applyFill="1" applyBorder="1" applyAlignment="1" applyProtection="1">
      <alignment horizontal="center" vertical="center"/>
      <protection hidden="1"/>
    </xf>
    <xf numFmtId="172" fontId="35" fillId="6" borderId="49" xfId="0" applyNumberFormat="1" applyFont="1" applyFill="1" applyBorder="1" applyAlignment="1" applyProtection="1">
      <alignment horizontal="center" vertical="center"/>
      <protection hidden="1"/>
    </xf>
    <xf numFmtId="2" fontId="13" fillId="22" borderId="7" xfId="0" applyNumberFormat="1" applyFont="1" applyFill="1" applyBorder="1" applyAlignment="1" applyProtection="1">
      <alignment horizontal="center" vertical="center"/>
      <protection locked="0"/>
    </xf>
    <xf numFmtId="2" fontId="13" fillId="22" borderId="88" xfId="0" applyNumberFormat="1" applyFont="1" applyFill="1" applyBorder="1" applyAlignment="1" applyProtection="1">
      <alignment horizontal="center" vertical="center"/>
      <protection locked="0"/>
    </xf>
    <xf numFmtId="2" fontId="13" fillId="12" borderId="9" xfId="0" applyNumberFormat="1" applyFont="1" applyFill="1" applyBorder="1" applyAlignment="1" applyProtection="1">
      <alignment horizontal="center" vertical="center"/>
      <protection locked="0"/>
    </xf>
    <xf numFmtId="2" fontId="13" fillId="12" borderId="27" xfId="0" applyNumberFormat="1" applyFont="1" applyFill="1" applyBorder="1" applyAlignment="1" applyProtection="1">
      <alignment horizontal="center" vertical="center"/>
      <protection locked="0"/>
    </xf>
    <xf numFmtId="178" fontId="23" fillId="0" borderId="42" xfId="0" applyNumberFormat="1" applyFont="1" applyBorder="1" applyAlignment="1">
      <alignment horizontal="center" vertical="center"/>
    </xf>
    <xf numFmtId="2" fontId="47" fillId="0" borderId="31" xfId="0" applyNumberFormat="1" applyFont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8" fillId="0" borderId="104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169" fontId="56" fillId="26" borderId="83" xfId="0" applyNumberFormat="1" applyFont="1" applyFill="1" applyBorder="1" applyAlignment="1">
      <alignment horizontal="center" vertical="center"/>
    </xf>
    <xf numFmtId="169" fontId="56" fillId="26" borderId="84" xfId="0" applyNumberFormat="1" applyFont="1" applyFill="1" applyBorder="1" applyAlignment="1">
      <alignment horizontal="center" vertical="center"/>
    </xf>
    <xf numFmtId="169" fontId="56" fillId="26" borderId="69" xfId="0" applyNumberFormat="1" applyFont="1" applyFill="1" applyBorder="1" applyAlignment="1">
      <alignment horizontal="center" vertical="center"/>
    </xf>
    <xf numFmtId="169" fontId="56" fillId="26" borderId="68" xfId="0" applyNumberFormat="1" applyFont="1" applyFill="1" applyBorder="1" applyAlignment="1">
      <alignment horizontal="center" vertical="center"/>
    </xf>
    <xf numFmtId="0" fontId="56" fillId="26" borderId="83" xfId="0" applyFont="1" applyFill="1" applyBorder="1" applyAlignment="1">
      <alignment horizontal="center" vertical="center"/>
    </xf>
    <xf numFmtId="0" fontId="56" fillId="26" borderId="69" xfId="0" applyFont="1" applyFill="1" applyBorder="1" applyAlignment="1">
      <alignment horizontal="center" vertical="center"/>
    </xf>
    <xf numFmtId="0" fontId="56" fillId="26" borderId="82" xfId="0" applyFont="1" applyFill="1" applyBorder="1" applyAlignment="1">
      <alignment horizontal="center" vertical="center"/>
    </xf>
    <xf numFmtId="0" fontId="56" fillId="26" borderId="72" xfId="0" applyFont="1" applyFill="1" applyBorder="1" applyAlignment="1">
      <alignment horizontal="center" vertical="center"/>
    </xf>
    <xf numFmtId="0" fontId="8" fillId="6" borderId="45" xfId="0" applyFont="1" applyFill="1" applyBorder="1" applyAlignment="1" applyProtection="1">
      <alignment horizontal="center" vertical="center"/>
      <protection hidden="1"/>
    </xf>
    <xf numFmtId="0" fontId="8" fillId="6" borderId="47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 wrapText="1"/>
      <protection hidden="1"/>
    </xf>
    <xf numFmtId="171" fontId="29" fillId="4" borderId="91" xfId="0" applyNumberFormat="1" applyFont="1" applyFill="1" applyBorder="1" applyAlignment="1" applyProtection="1">
      <alignment horizontal="center" vertical="center" textRotation="90"/>
      <protection hidden="1"/>
    </xf>
    <xf numFmtId="171" fontId="29" fillId="4" borderId="42" xfId="0" applyNumberFormat="1" applyFont="1" applyFill="1" applyBorder="1" applyAlignment="1" applyProtection="1">
      <alignment horizontal="center" vertical="center" textRotation="90"/>
      <protection hidden="1"/>
    </xf>
    <xf numFmtId="171" fontId="29" fillId="4" borderId="92" xfId="0" applyNumberFormat="1" applyFont="1" applyFill="1" applyBorder="1" applyAlignment="1" applyProtection="1">
      <alignment horizontal="center" vertical="center" textRotation="90"/>
      <protection hidden="1"/>
    </xf>
    <xf numFmtId="0" fontId="9" fillId="6" borderId="48" xfId="0" applyFont="1" applyFill="1" applyBorder="1" applyAlignment="1" applyProtection="1">
      <alignment horizontal="center" vertical="center" wrapText="1"/>
      <protection hidden="1"/>
    </xf>
    <xf numFmtId="0" fontId="9" fillId="6" borderId="38" xfId="0" applyFont="1" applyFill="1" applyBorder="1" applyAlignment="1" applyProtection="1">
      <alignment horizontal="center" vertical="center" wrapText="1"/>
      <protection hidden="1"/>
    </xf>
    <xf numFmtId="164" fontId="57" fillId="3" borderId="67" xfId="0" applyNumberFormat="1" applyFont="1" applyFill="1" applyBorder="1" applyAlignment="1">
      <alignment horizontal="center" vertical="center"/>
    </xf>
    <xf numFmtId="164" fontId="57" fillId="3" borderId="79" xfId="0" applyNumberFormat="1" applyFont="1" applyFill="1" applyBorder="1" applyAlignment="1">
      <alignment horizontal="center" vertical="center"/>
    </xf>
    <xf numFmtId="176" fontId="10" fillId="0" borderId="58" xfId="1" applyNumberFormat="1" applyFont="1" applyBorder="1" applyAlignment="1">
      <alignment horizontal="center" vertical="center"/>
    </xf>
    <xf numFmtId="176" fontId="10" fillId="0" borderId="61" xfId="1" applyNumberFormat="1" applyFont="1" applyBorder="1" applyAlignment="1">
      <alignment horizontal="center" vertical="center"/>
    </xf>
    <xf numFmtId="0" fontId="6" fillId="26" borderId="9" xfId="1" applyFont="1" applyFill="1" applyBorder="1" applyAlignment="1">
      <alignment horizontal="center" vertical="center"/>
    </xf>
    <xf numFmtId="0" fontId="6" fillId="26" borderId="33" xfId="1" applyFont="1" applyFill="1" applyBorder="1" applyAlignment="1">
      <alignment horizontal="center" vertical="center"/>
    </xf>
    <xf numFmtId="0" fontId="6" fillId="26" borderId="27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2" fontId="13" fillId="22" borderId="24" xfId="0" applyNumberFormat="1" applyFont="1" applyFill="1" applyBorder="1" applyAlignment="1" applyProtection="1">
      <alignment horizontal="center" vertical="center"/>
      <protection locked="0"/>
    </xf>
    <xf numFmtId="37" fontId="48" fillId="0" borderId="0" xfId="6" applyNumberFormat="1" applyFont="1" applyFill="1" applyBorder="1" applyAlignment="1">
      <alignment horizontal="left"/>
    </xf>
    <xf numFmtId="37" fontId="77" fillId="26" borderId="0" xfId="6" applyNumberFormat="1" applyFont="1" applyFill="1" applyBorder="1" applyAlignment="1">
      <alignment horizontal="center" vertical="center"/>
    </xf>
    <xf numFmtId="37" fontId="48" fillId="0" borderId="0" xfId="6" applyNumberFormat="1" applyFont="1" applyFill="1" applyBorder="1" applyAlignment="1">
      <alignment horizontal="center"/>
    </xf>
    <xf numFmtId="37" fontId="2" fillId="0" borderId="0" xfId="6" applyNumberFormat="1" applyFont="1" applyFill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 applyFont="1"/>
    <xf numFmtId="37" fontId="48" fillId="0" borderId="0" xfId="6" applyNumberFormat="1" applyFont="1" applyFill="1" applyBorder="1"/>
    <xf numFmtId="0" fontId="44" fillId="0" borderId="0" xfId="0" applyFont="1" applyAlignment="1">
      <alignment horizontal="center" vertical="center"/>
    </xf>
    <xf numFmtId="37" fontId="2" fillId="0" borderId="0" xfId="6" quotePrefix="1" applyNumberFormat="1" applyFont="1" applyFill="1" applyBorder="1" applyAlignment="1">
      <alignment horizontal="center"/>
    </xf>
    <xf numFmtId="37" fontId="79" fillId="26" borderId="0" xfId="6" applyNumberFormat="1" applyFont="1" applyFill="1" applyBorder="1" applyAlignment="1">
      <alignment horizontal="center"/>
    </xf>
    <xf numFmtId="37" fontId="2" fillId="0" borderId="0" xfId="6" applyNumberFormat="1" applyFont="1" applyFill="1" applyBorder="1"/>
    <xf numFmtId="37" fontId="0" fillId="0" borderId="0" xfId="6" applyNumberFormat="1" applyFont="1" applyFill="1" applyBorder="1" applyAlignment="1">
      <alignment horizontal="centerContinuous"/>
    </xf>
    <xf numFmtId="37" fontId="2" fillId="0" borderId="0" xfId="6" applyNumberFormat="1" applyFont="1" applyFill="1" applyBorder="1" applyAlignment="1">
      <alignment horizontal="centerContinuous"/>
    </xf>
    <xf numFmtId="177" fontId="0" fillId="0" borderId="0" xfId="0" applyNumberFormat="1"/>
    <xf numFmtId="173" fontId="17" fillId="26" borderId="1" xfId="0" applyNumberFormat="1" applyFont="1" applyFill="1" applyBorder="1" applyAlignment="1" applyProtection="1">
      <alignment horizontal="center" vertical="center"/>
      <protection hidden="1"/>
    </xf>
    <xf numFmtId="37" fontId="2" fillId="0" borderId="1" xfId="6" applyNumberFormat="1" applyFont="1" applyFill="1" applyBorder="1" applyAlignment="1">
      <alignment horizontal="right"/>
    </xf>
    <xf numFmtId="37" fontId="81" fillId="0" borderId="0" xfId="6" applyNumberFormat="1" applyFont="1" applyFill="1" applyBorder="1" applyAlignment="1">
      <alignment horizontal="right"/>
    </xf>
    <xf numFmtId="177" fontId="77" fillId="26" borderId="1" xfId="6" applyNumberFormat="1" applyFont="1" applyFill="1" applyBorder="1" applyAlignment="1">
      <alignment horizontal="center" vertical="center"/>
    </xf>
    <xf numFmtId="0" fontId="48" fillId="0" borderId="0" xfId="0" applyFont="1"/>
    <xf numFmtId="37" fontId="2" fillId="6" borderId="1" xfId="6" applyNumberFormat="1" applyFont="1" applyFill="1" applyBorder="1" applyAlignment="1">
      <alignment horizontal="right"/>
    </xf>
    <xf numFmtId="37" fontId="2" fillId="0" borderId="0" xfId="6" applyNumberFormat="1" applyFont="1" applyFill="1" applyBorder="1" applyAlignment="1">
      <alignment horizontal="right"/>
    </xf>
    <xf numFmtId="177" fontId="2" fillId="0" borderId="1" xfId="6" applyNumberFormat="1" applyFont="1" applyFill="1" applyBorder="1" applyAlignment="1">
      <alignment horizontal="right"/>
    </xf>
    <xf numFmtId="37" fontId="2" fillId="0" borderId="0" xfId="6" applyNumberFormat="1" applyFont="1"/>
    <xf numFmtId="2" fontId="0" fillId="0" borderId="0" xfId="0" applyNumberFormat="1"/>
    <xf numFmtId="37" fontId="0" fillId="0" borderId="0" xfId="6" applyNumberFormat="1" applyFont="1" applyFill="1" applyBorder="1"/>
    <xf numFmtId="37" fontId="78" fillId="6" borderId="9" xfId="6" applyNumberFormat="1" applyFont="1" applyFill="1" applyBorder="1"/>
    <xf numFmtId="37" fontId="2" fillId="6" borderId="27" xfId="6" applyNumberFormat="1" applyFont="1" applyFill="1" applyBorder="1"/>
    <xf numFmtId="37" fontId="2" fillId="6" borderId="33" xfId="6" applyNumberFormat="1" applyFont="1" applyFill="1" applyBorder="1"/>
    <xf numFmtId="37" fontId="79" fillId="26" borderId="9" xfId="6" applyNumberFormat="1" applyFont="1" applyFill="1" applyBorder="1" applyAlignment="1">
      <alignment horizontal="center" vertical="center"/>
    </xf>
    <xf numFmtId="37" fontId="79" fillId="26" borderId="27" xfId="6" applyNumberFormat="1" applyFont="1" applyFill="1" applyBorder="1" applyAlignment="1">
      <alignment horizontal="center" vertical="center"/>
    </xf>
    <xf numFmtId="37" fontId="79" fillId="26" borderId="33" xfId="6" applyNumberFormat="1" applyFont="1" applyFill="1" applyBorder="1" applyAlignment="1">
      <alignment horizontal="center" vertical="center"/>
    </xf>
    <xf numFmtId="0" fontId="79" fillId="26" borderId="1" xfId="1" applyFont="1" applyFill="1" applyBorder="1"/>
    <xf numFmtId="0" fontId="2" fillId="0" borderId="1" xfId="1" applyFont="1" applyFill="1" applyBorder="1"/>
    <xf numFmtId="37" fontId="2" fillId="6" borderId="9" xfId="6" applyNumberFormat="1" applyFont="1" applyFill="1" applyBorder="1"/>
    <xf numFmtId="37" fontId="0" fillId="0" borderId="0" xfId="6" applyNumberFormat="1" applyFont="1" applyFill="1" applyBorder="1" applyAlignment="1">
      <alignment horizontal="center"/>
    </xf>
    <xf numFmtId="37" fontId="2" fillId="0" borderId="0" xfId="6" applyNumberFormat="1" applyFill="1" applyBorder="1" applyAlignment="1">
      <alignment horizontal="center"/>
    </xf>
    <xf numFmtId="37" fontId="2" fillId="0" borderId="0" xfId="6" applyNumberFormat="1" applyFill="1" applyBorder="1"/>
    <xf numFmtId="37" fontId="2" fillId="0" borderId="0" xfId="6" quotePrefix="1" applyNumberFormat="1" applyFill="1" applyBorder="1" applyAlignment="1">
      <alignment horizontal="center"/>
    </xf>
    <xf numFmtId="37" fontId="79" fillId="26" borderId="0" xfId="6" applyNumberFormat="1" applyFont="1" applyFill="1" applyBorder="1"/>
    <xf numFmtId="37" fontId="1" fillId="26" borderId="0" xfId="6" applyNumberFormat="1" applyFont="1" applyFill="1" applyBorder="1"/>
    <xf numFmtId="177" fontId="1" fillId="26" borderId="1" xfId="6" applyNumberFormat="1" applyFont="1" applyFill="1" applyBorder="1" applyAlignment="1">
      <alignment horizontal="right"/>
    </xf>
    <xf numFmtId="187" fontId="0" fillId="0" borderId="0" xfId="4" applyNumberFormat="1" applyFont="1"/>
    <xf numFmtId="37" fontId="2" fillId="0" borderId="0" xfId="6" quotePrefix="1" applyNumberFormat="1" applyFont="1" applyBorder="1" applyAlignment="1">
      <alignment horizontal="center"/>
    </xf>
    <xf numFmtId="37" fontId="48" fillId="0" borderId="0" xfId="6" applyNumberFormat="1" applyFont="1" applyBorder="1"/>
    <xf numFmtId="37" fontId="79" fillId="26" borderId="9" xfId="6" applyNumberFormat="1" applyFont="1" applyFill="1" applyBorder="1"/>
    <xf numFmtId="37" fontId="79" fillId="26" borderId="27" xfId="6" applyNumberFormat="1" applyFont="1" applyFill="1" applyBorder="1"/>
    <xf numFmtId="37" fontId="79" fillId="26" borderId="33" xfId="6" applyNumberFormat="1" applyFont="1" applyFill="1" applyBorder="1"/>
    <xf numFmtId="0" fontId="1" fillId="26" borderId="1" xfId="1" applyFont="1" applyFill="1" applyBorder="1"/>
    <xf numFmtId="37" fontId="78" fillId="0" borderId="0" xfId="6" applyNumberFormat="1" applyFont="1" applyFill="1" applyBorder="1" applyAlignment="1"/>
    <xf numFmtId="37" fontId="2" fillId="0" borderId="0" xfId="6" applyNumberFormat="1" applyFont="1" applyFill="1" applyBorder="1" applyAlignment="1"/>
    <xf numFmtId="2" fontId="2" fillId="0" borderId="1" xfId="1" applyNumberFormat="1" applyFont="1" applyFill="1" applyBorder="1"/>
    <xf numFmtId="37" fontId="79" fillId="26" borderId="0" xfId="6" applyNumberFormat="1" applyFont="1" applyFill="1" applyBorder="1" applyAlignment="1">
      <alignment vertical="center"/>
    </xf>
    <xf numFmtId="37" fontId="1" fillId="26" borderId="0" xfId="6" applyNumberFormat="1" applyFont="1" applyFill="1" applyBorder="1" applyAlignment="1">
      <alignment vertical="center"/>
    </xf>
    <xf numFmtId="177" fontId="79" fillId="26" borderId="1" xfId="6" applyNumberFormat="1" applyFont="1" applyFill="1" applyBorder="1" applyAlignment="1">
      <alignment horizontal="right"/>
    </xf>
    <xf numFmtId="2" fontId="79" fillId="26" borderId="1" xfId="1" applyNumberFormat="1" applyFont="1" applyFill="1" applyBorder="1"/>
    <xf numFmtId="37" fontId="2" fillId="0" borderId="12" xfId="6" applyNumberFormat="1" applyFont="1" applyFill="1" applyBorder="1" applyAlignment="1">
      <alignment horizontal="right"/>
    </xf>
    <xf numFmtId="37" fontId="82" fillId="3" borderId="9" xfId="6" applyNumberFormat="1" applyFont="1" applyFill="1" applyBorder="1" applyAlignment="1">
      <alignment horizontal="center" vertical="center"/>
    </xf>
    <xf numFmtId="37" fontId="82" fillId="3" borderId="27" xfId="6" applyNumberFormat="1" applyFont="1" applyFill="1" applyBorder="1" applyAlignment="1">
      <alignment horizontal="center" vertical="center"/>
    </xf>
    <xf numFmtId="37" fontId="82" fillId="3" borderId="33" xfId="6" applyNumberFormat="1" applyFont="1" applyFill="1" applyBorder="1" applyAlignment="1">
      <alignment horizontal="center" vertical="center"/>
    </xf>
    <xf numFmtId="169" fontId="18" fillId="5" borderId="0" xfId="0" applyNumberFormat="1" applyFont="1" applyFill="1" applyBorder="1" applyAlignment="1" applyProtection="1">
      <alignment horizontal="center" vertical="center"/>
      <protection hidden="1"/>
    </xf>
    <xf numFmtId="169" fontId="18" fillId="5" borderId="31" xfId="0" applyNumberFormat="1" applyFont="1" applyFill="1" applyBorder="1" applyAlignment="1" applyProtection="1">
      <alignment horizontal="center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9" fillId="0" borderId="30" xfId="0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Fill="1" applyBorder="1" applyAlignment="1" applyProtection="1">
      <alignment horizontal="center" vertical="center" wrapText="1"/>
      <protection hidden="1"/>
    </xf>
  </cellXfs>
  <cellStyles count="7">
    <cellStyle name="Excel Built-in Normal" xfId="2"/>
    <cellStyle name="Migliaia [0]" xfId="3" builtinId="6"/>
    <cellStyle name="Migliaia [0] 2" xfId="5"/>
    <cellStyle name="Migliaia [0] 2 2" xfId="6"/>
    <cellStyle name="Migliaia 2" xfId="4"/>
    <cellStyle name="Normale" xfId="0" builtinId="0"/>
    <cellStyle name="Normale 2" xfId="1"/>
  </cellStyles>
  <dxfs count="7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2CA985"/>
      <color rgb="FF3399FF"/>
      <color rgb="FF6699FF"/>
      <color rgb="FFA7FFE2"/>
      <color rgb="FF33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t-IT"/>
              <a:t>Andamento Consumi</a:t>
            </a:r>
          </a:p>
        </c:rich>
      </c:tx>
      <c:layout>
        <c:manualLayout>
          <c:xMode val="edge"/>
          <c:yMode val="edge"/>
          <c:x val="0.33130894349280376"/>
          <c:y val="9.94538386319730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980314960629919"/>
          <c:y val="0.17171296296296298"/>
          <c:w val="0.8901968503937007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'RipartizioneAcqua (1° Trim) '!$Y$2</c:f>
              <c:strCache>
                <c:ptCount val="1"/>
                <c:pt idx="0">
                  <c:v>1° Trim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'RipartizioneAcqua (1° Trim) '!$X$3:$X$6</c:f>
              <c:strCache>
                <c:ptCount val="4"/>
                <c:pt idx="0">
                  <c:v>M³</c:v>
                </c:pt>
                <c:pt idx="1">
                  <c:v>Giorni</c:v>
                </c:pt>
                <c:pt idx="2">
                  <c:v>Media Cons.Giorni</c:v>
                </c:pt>
                <c:pt idx="3">
                  <c:v>Costo Fattura</c:v>
                </c:pt>
              </c:strCache>
            </c:strRef>
          </c:cat>
          <c:val>
            <c:numRef>
              <c:f>'RipartizioneAcqua (1° Trim) '!$Y$3:$Y$6</c:f>
              <c:numCache>
                <c:formatCode>General</c:formatCode>
                <c:ptCount val="4"/>
                <c:pt idx="0">
                  <c:v>651</c:v>
                </c:pt>
                <c:pt idx="1">
                  <c:v>98</c:v>
                </c:pt>
                <c:pt idx="2" formatCode="0.00">
                  <c:v>6.6428571428571432</c:v>
                </c:pt>
                <c:pt idx="3" formatCode="0.00">
                  <c:v>1515.7971278863017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C-4836-90D6-7CDD6F652F6A}"/>
            </c:ext>
          </c:extLst>
        </c:ser>
        <c:ser>
          <c:idx val="1"/>
          <c:order val="1"/>
          <c:tx>
            <c:strRef>
              <c:f>'RipartizioneAcqua (1° Trim) '!$Z$2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'RipartizioneAcqua (1° Trim) '!$X$3:$X$6</c:f>
              <c:strCache>
                <c:ptCount val="4"/>
                <c:pt idx="0">
                  <c:v>M³</c:v>
                </c:pt>
                <c:pt idx="1">
                  <c:v>Giorni</c:v>
                </c:pt>
                <c:pt idx="2">
                  <c:v>Media Cons.Giorni</c:v>
                </c:pt>
                <c:pt idx="3">
                  <c:v>Costo Fattura</c:v>
                </c:pt>
              </c:strCache>
            </c:strRef>
          </c:cat>
          <c:val>
            <c:numRef>
              <c:f>'RipartizioneAcqua (1° Trim) '!$Z$3:$Z$6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0AC-4836-90D6-7CDD6F652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354433808"/>
        <c:axId val="354430480"/>
      </c:barChart>
      <c:catAx>
        <c:axId val="35443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430480"/>
        <c:crosses val="autoZero"/>
        <c:auto val="1"/>
        <c:lblAlgn val="ctr"/>
        <c:lblOffset val="100"/>
        <c:noMultiLvlLbl val="0"/>
      </c:catAx>
      <c:valAx>
        <c:axId val="35443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Metri Cubi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433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0</xdr:rowOff>
    </xdr:from>
    <xdr:to>
      <xdr:col>37</xdr:col>
      <xdr:colOff>419100</xdr:colOff>
      <xdr:row>43</xdr:row>
      <xdr:rowOff>133350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0"/>
          <a:ext cx="20497800" cy="812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Line 14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" name="Line 15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" name="Line 16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" name="Line 17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" name="Line 19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" name="Line 20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9" name="Line 21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" name="Line 23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" name="Line 24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" name="Line 25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4" name="Line 37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5" name="Line 38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6" name="Line 39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7" name="Line 40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1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9" name="Line 42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0" name="Line 43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1" name="Line 44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2" name="Line 45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3" name="Line 46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4" name="Line 47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5" name="Line 48"/>
        <xdr:cNvSpPr>
          <a:spLocks noChangeShapeType="1"/>
        </xdr:cNvSpPr>
      </xdr:nvSpPr>
      <xdr:spPr bwMode="auto">
        <a:xfrm>
          <a:off x="2809875" y="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6" name="Line 6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7" name="Line 6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" name="Line 6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Line 6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" name="Line 6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1" name="Line 6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" name="Line 6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" name="Line 6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" name="Line 7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6" name="Line 71"/>
        <xdr:cNvSpPr>
          <a:spLocks noChangeShapeType="1"/>
        </xdr:cNvSpPr>
      </xdr:nvSpPr>
      <xdr:spPr bwMode="auto">
        <a:xfrm>
          <a:off x="28098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7" name="Line 74"/>
        <xdr:cNvSpPr>
          <a:spLocks noChangeShapeType="1"/>
        </xdr:cNvSpPr>
      </xdr:nvSpPr>
      <xdr:spPr bwMode="auto">
        <a:xfrm>
          <a:off x="34194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8" name="Line 75"/>
        <xdr:cNvSpPr>
          <a:spLocks noChangeShapeType="1"/>
        </xdr:cNvSpPr>
      </xdr:nvSpPr>
      <xdr:spPr bwMode="auto">
        <a:xfrm>
          <a:off x="4029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9" name="Line 76"/>
        <xdr:cNvSpPr>
          <a:spLocks noChangeShapeType="1"/>
        </xdr:cNvSpPr>
      </xdr:nvSpPr>
      <xdr:spPr bwMode="auto">
        <a:xfrm>
          <a:off x="46386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0" name="Line 77"/>
        <xdr:cNvSpPr>
          <a:spLocks noChangeShapeType="1"/>
        </xdr:cNvSpPr>
      </xdr:nvSpPr>
      <xdr:spPr bwMode="auto">
        <a:xfrm>
          <a:off x="5248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1" name="Line 78"/>
        <xdr:cNvSpPr>
          <a:spLocks noChangeShapeType="1"/>
        </xdr:cNvSpPr>
      </xdr:nvSpPr>
      <xdr:spPr bwMode="auto">
        <a:xfrm>
          <a:off x="58578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93346</xdr:colOff>
      <xdr:row>2</xdr:row>
      <xdr:rowOff>28575</xdr:rowOff>
    </xdr:from>
    <xdr:to>
      <xdr:col>2</xdr:col>
      <xdr:colOff>323934</xdr:colOff>
      <xdr:row>4</xdr:row>
      <xdr:rowOff>66675</xdr:rowOff>
    </xdr:to>
    <xdr:sp macro="" textlink="">
      <xdr:nvSpPr>
        <xdr:cNvPr id="52" name="Freccia in giù 52"/>
        <xdr:cNvSpPr>
          <a:spLocks noChangeArrowheads="1"/>
        </xdr:cNvSpPr>
      </xdr:nvSpPr>
      <xdr:spPr bwMode="auto">
        <a:xfrm>
          <a:off x="1017271" y="352425"/>
          <a:ext cx="230588" cy="361950"/>
        </a:xfrm>
        <a:prstGeom prst="downArrow">
          <a:avLst>
            <a:gd name="adj1" fmla="val 50000"/>
            <a:gd name="adj2" fmla="val 50002"/>
          </a:avLst>
        </a:prstGeom>
        <a:solidFill>
          <a:srgbClr val="FF0000"/>
        </a:solidFill>
        <a:ln w="28575" algn="ctr">
          <a:solidFill>
            <a:srgbClr val="FFFF00"/>
          </a:solidFill>
          <a:round/>
          <a:headEnd/>
          <a:tailEnd/>
        </a:ln>
        <a:scene3d>
          <a:camera prst="orthographicFront"/>
          <a:lightRig rig="threePt" dir="t"/>
        </a:scene3d>
        <a:sp3d>
          <a:bevelT prst="angle"/>
        </a:sp3d>
      </xdr:spPr>
      <xdr:txBody>
        <a:bodyPr/>
        <a:lstStyle/>
        <a:p>
          <a:endParaRPr lang="it-IT"/>
        </a:p>
      </xdr:txBody>
    </xdr:sp>
    <xdr:clientData/>
  </xdr:twoCellAnchor>
  <xdr:oneCellAnchor>
    <xdr:from>
      <xdr:col>8</xdr:col>
      <xdr:colOff>361951</xdr:colOff>
      <xdr:row>0</xdr:row>
      <xdr:rowOff>51435</xdr:rowOff>
    </xdr:from>
    <xdr:ext cx="8992367" cy="798480"/>
    <xdr:sp macro="" textlink="">
      <xdr:nvSpPr>
        <xdr:cNvPr id="53" name="Rettangolo 52"/>
        <xdr:cNvSpPr/>
      </xdr:nvSpPr>
      <xdr:spPr>
        <a:xfrm>
          <a:off x="5610226" y="51435"/>
          <a:ext cx="8992367" cy="798480"/>
        </a:xfrm>
        <a:prstGeom prst="rect">
          <a:avLst/>
        </a:prstGeom>
        <a:noFill/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it-IT" sz="4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   </a:t>
          </a:r>
          <a:r>
            <a:rPr lang="it-IT" sz="4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L'Acqua è un Bene</a:t>
          </a:r>
          <a:r>
            <a:rPr lang="it-IT" sz="4400" b="1" cap="none" spc="0" baseline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 Comune</a:t>
          </a:r>
          <a:endParaRPr lang="it-IT" sz="4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rgbClr val="FF0000"/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twoCellAnchor>
    <xdr:from>
      <xdr:col>13</xdr:col>
      <xdr:colOff>243840</xdr:colOff>
      <xdr:row>5</xdr:row>
      <xdr:rowOff>81915</xdr:rowOff>
    </xdr:from>
    <xdr:to>
      <xdr:col>19</xdr:col>
      <xdr:colOff>83828</xdr:colOff>
      <xdr:row>9</xdr:row>
      <xdr:rowOff>158115</xdr:rowOff>
    </xdr:to>
    <xdr:sp macro="" textlink="">
      <xdr:nvSpPr>
        <xdr:cNvPr id="54" name="CasellaDiTesto 53"/>
        <xdr:cNvSpPr txBox="1"/>
      </xdr:nvSpPr>
      <xdr:spPr>
        <a:xfrm>
          <a:off x="8549640" y="891540"/>
          <a:ext cx="3602363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t-IT" sz="44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rgbClr val="FF000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Non Sprecarla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132907</xdr:colOff>
      <xdr:row>46</xdr:row>
      <xdr:rowOff>155058</xdr:rowOff>
    </xdr:from>
    <xdr:to>
      <xdr:col>6</xdr:col>
      <xdr:colOff>553779</xdr:colOff>
      <xdr:row>46</xdr:row>
      <xdr:rowOff>166133</xdr:rowOff>
    </xdr:to>
    <xdr:cxnSp macro="">
      <xdr:nvCxnSpPr>
        <xdr:cNvPr id="3" name="Connettore 2 2"/>
        <xdr:cNvCxnSpPr/>
      </xdr:nvCxnSpPr>
      <xdr:spPr>
        <a:xfrm flipV="1">
          <a:off x="2266507" y="11908908"/>
          <a:ext cx="2783072" cy="11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44304</xdr:colOff>
      <xdr:row>10</xdr:row>
      <xdr:rowOff>95250</xdr:rowOff>
    </xdr:from>
    <xdr:to>
      <xdr:col>11</xdr:col>
      <xdr:colOff>942975</xdr:colOff>
      <xdr:row>17</xdr:row>
      <xdr:rowOff>99680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4554" y="2705100"/>
          <a:ext cx="1994046" cy="1804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327395</xdr:colOff>
      <xdr:row>34</xdr:row>
      <xdr:rowOff>103002</xdr:rowOff>
    </xdr:from>
    <xdr:to>
      <xdr:col>13</xdr:col>
      <xdr:colOff>948292</xdr:colOff>
      <xdr:row>38</xdr:row>
      <xdr:rowOff>160153</xdr:rowOff>
    </xdr:to>
    <xdr:pic>
      <xdr:nvPicPr>
        <xdr:cNvPr id="5" name="Immagin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3695" y="8885052"/>
          <a:ext cx="1773423" cy="1085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66676</xdr:colOff>
      <xdr:row>2</xdr:row>
      <xdr:rowOff>9157</xdr:rowOff>
    </xdr:from>
    <xdr:to>
      <xdr:col>11</xdr:col>
      <xdr:colOff>733425</xdr:colOff>
      <xdr:row>3</xdr:row>
      <xdr:rowOff>9526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9686926" y="561607"/>
          <a:ext cx="1762124" cy="25754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INSERIRE DATI  FATTURA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20</xdr:col>
      <xdr:colOff>349250</xdr:colOff>
      <xdr:row>12</xdr:row>
      <xdr:rowOff>15875</xdr:rowOff>
    </xdr:from>
    <xdr:to>
      <xdr:col>20</xdr:col>
      <xdr:colOff>394969</xdr:colOff>
      <xdr:row>12</xdr:row>
      <xdr:rowOff>177800</xdr:rowOff>
    </xdr:to>
    <xdr:sp macro="" textlink="">
      <xdr:nvSpPr>
        <xdr:cNvPr id="13" name="Freccia in giù 12"/>
        <xdr:cNvSpPr/>
      </xdr:nvSpPr>
      <xdr:spPr>
        <a:xfrm>
          <a:off x="18208625" y="2625725"/>
          <a:ext cx="45719" cy="1619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22</xdr:col>
      <xdr:colOff>608270</xdr:colOff>
      <xdr:row>7</xdr:row>
      <xdr:rowOff>43637</xdr:rowOff>
    </xdr:from>
    <xdr:to>
      <xdr:col>26</xdr:col>
      <xdr:colOff>695325</xdr:colOff>
      <xdr:row>16</xdr:row>
      <xdr:rowOff>123605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327395</xdr:colOff>
      <xdr:row>34</xdr:row>
      <xdr:rowOff>103002</xdr:rowOff>
    </xdr:from>
    <xdr:ext cx="1772758" cy="1076104"/>
    <xdr:pic>
      <xdr:nvPicPr>
        <xdr:cNvPr id="16" name="Immagin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170" y="8885052"/>
          <a:ext cx="1772758" cy="107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</xdr:col>
      <xdr:colOff>317869</xdr:colOff>
      <xdr:row>3</xdr:row>
      <xdr:rowOff>142875</xdr:rowOff>
    </xdr:from>
    <xdr:to>
      <xdr:col>20</xdr:col>
      <xdr:colOff>419100</xdr:colOff>
      <xdr:row>4</xdr:row>
      <xdr:rowOff>178760</xdr:rowOff>
    </xdr:to>
    <xdr:sp macro="" textlink="">
      <xdr:nvSpPr>
        <xdr:cNvPr id="21" name="Freccia in giù 20"/>
        <xdr:cNvSpPr/>
      </xdr:nvSpPr>
      <xdr:spPr>
        <a:xfrm>
          <a:off x="16843744" y="952500"/>
          <a:ext cx="101231" cy="29306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17</xdr:col>
      <xdr:colOff>9526</xdr:colOff>
      <xdr:row>5</xdr:row>
      <xdr:rowOff>38100</xdr:rowOff>
    </xdr:from>
    <xdr:to>
      <xdr:col>17</xdr:col>
      <xdr:colOff>1006328</xdr:colOff>
      <xdr:row>10</xdr:row>
      <xdr:rowOff>19050</xdr:rowOff>
    </xdr:to>
    <xdr:pic>
      <xdr:nvPicPr>
        <xdr:cNvPr id="22" name="Immagine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9401" y="1362075"/>
          <a:ext cx="996802" cy="1266825"/>
        </a:xfrm>
        <a:prstGeom prst="rect">
          <a:avLst/>
        </a:prstGeom>
      </xdr:spPr>
    </xdr:pic>
    <xdr:clientData/>
  </xdr:twoCellAnchor>
  <xdr:twoCellAnchor editAs="oneCell">
    <xdr:from>
      <xdr:col>10</xdr:col>
      <xdr:colOff>22150</xdr:colOff>
      <xdr:row>8</xdr:row>
      <xdr:rowOff>33227</xdr:rowOff>
    </xdr:from>
    <xdr:to>
      <xdr:col>11</xdr:col>
      <xdr:colOff>981075</xdr:colOff>
      <xdr:row>9</xdr:row>
      <xdr:rowOff>200025</xdr:rowOff>
    </xdr:to>
    <xdr:pic>
      <xdr:nvPicPr>
        <xdr:cNvPr id="23" name="Immagine 22" descr="https://m.media-amazon.com/images/I/71ozJZivJyL._AC_SL1500_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2400" y="2128727"/>
          <a:ext cx="2054300" cy="42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47</xdr:row>
      <xdr:rowOff>142875</xdr:rowOff>
    </xdr:from>
    <xdr:to>
      <xdr:col>4</xdr:col>
      <xdr:colOff>590550</xdr:colOff>
      <xdr:row>48</xdr:row>
      <xdr:rowOff>123825</xdr:rowOff>
    </xdr:to>
    <xdr:pic>
      <xdr:nvPicPr>
        <xdr:cNvPr id="25" name="Immagine 2" descr="https://m.media-amazon.com/images/I/71ozJZivJyL._AC_SL1500_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2230100"/>
          <a:ext cx="1619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180974</xdr:colOff>
      <xdr:row>49</xdr:row>
      <xdr:rowOff>1</xdr:rowOff>
    </xdr:from>
    <xdr:to>
      <xdr:col>2</xdr:col>
      <xdr:colOff>1666874</xdr:colOff>
      <xdr:row>49</xdr:row>
      <xdr:rowOff>1190625</xdr:rowOff>
    </xdr:to>
    <xdr:pic>
      <xdr:nvPicPr>
        <xdr:cNvPr id="26" name="Immagine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12668251"/>
          <a:ext cx="2276475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cuments/Excell/Calcolo%20Fatture%20AQP/Ripartizione%20Acqua/acqua%20via%20vecchia%20sammichele%20Loren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'Acqua AQP"/>
      <sheetName val="RipartizioneAcqua (1° Trim) "/>
      <sheetName val="RipartizioneAcqua (2° Trim) "/>
      <sheetName val="RipartizioneAcqua (3° Trim) "/>
      <sheetName val="RipartizioneAcqua (4° Trim) "/>
      <sheetName val="RipartizioneAcqua (4° Trim) (2"/>
      <sheetName val="Tariffe 2022-2023"/>
      <sheetName val="Note di chiarimento"/>
      <sheetName val="RipartizioneAcqua (Total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0000"/>
  </sheetPr>
  <dimension ref="A1:P50"/>
  <sheetViews>
    <sheetView showGridLines="0" zoomScaleNormal="100" workbookViewId="0">
      <selection activeCell="D35" sqref="D35"/>
    </sheetView>
  </sheetViews>
  <sheetFormatPr defaultRowHeight="12.75"/>
  <cols>
    <col min="1" max="1" width="4.7109375" style="9" customWidth="1"/>
    <col min="2" max="2" width="9.140625" style="9" customWidth="1"/>
    <col min="3" max="3" width="19.140625" style="10" customWidth="1"/>
    <col min="4" max="4" width="9.140625" style="1" customWidth="1"/>
    <col min="5" max="5" width="9.140625" style="2" customWidth="1"/>
    <col min="6" max="6" width="9.140625" style="1" customWidth="1"/>
    <col min="7" max="11" width="9.140625" style="2" customWidth="1"/>
    <col min="12" max="12" width="9.140625" style="4" customWidth="1"/>
    <col min="13" max="13" width="9.28515625" style="4" customWidth="1"/>
    <col min="14" max="14" width="9.140625" style="4"/>
    <col min="15" max="15" width="10.7109375" style="4" customWidth="1"/>
    <col min="16" max="256" width="9.140625" style="4"/>
    <col min="257" max="257" width="4.7109375" style="4" customWidth="1"/>
    <col min="258" max="258" width="9.140625" style="4" customWidth="1"/>
    <col min="259" max="259" width="19.140625" style="4" customWidth="1"/>
    <col min="260" max="268" width="9.140625" style="4" customWidth="1"/>
    <col min="269" max="269" width="9.28515625" style="4" customWidth="1"/>
    <col min="270" max="270" width="9.140625" style="4"/>
    <col min="271" max="271" width="10.7109375" style="4" customWidth="1"/>
    <col min="272" max="512" width="9.140625" style="4"/>
    <col min="513" max="513" width="4.7109375" style="4" customWidth="1"/>
    <col min="514" max="514" width="9.140625" style="4" customWidth="1"/>
    <col min="515" max="515" width="19.140625" style="4" customWidth="1"/>
    <col min="516" max="524" width="9.140625" style="4" customWidth="1"/>
    <col min="525" max="525" width="9.28515625" style="4" customWidth="1"/>
    <col min="526" max="526" width="9.140625" style="4"/>
    <col min="527" max="527" width="10.7109375" style="4" customWidth="1"/>
    <col min="528" max="768" width="9.140625" style="4"/>
    <col min="769" max="769" width="4.7109375" style="4" customWidth="1"/>
    <col min="770" max="770" width="9.140625" style="4" customWidth="1"/>
    <col min="771" max="771" width="19.140625" style="4" customWidth="1"/>
    <col min="772" max="780" width="9.140625" style="4" customWidth="1"/>
    <col min="781" max="781" width="9.28515625" style="4" customWidth="1"/>
    <col min="782" max="782" width="9.140625" style="4"/>
    <col min="783" max="783" width="10.7109375" style="4" customWidth="1"/>
    <col min="784" max="1024" width="9.140625" style="4"/>
    <col min="1025" max="1025" width="4.7109375" style="4" customWidth="1"/>
    <col min="1026" max="1026" width="9.140625" style="4" customWidth="1"/>
    <col min="1027" max="1027" width="19.140625" style="4" customWidth="1"/>
    <col min="1028" max="1036" width="9.140625" style="4" customWidth="1"/>
    <col min="1037" max="1037" width="9.28515625" style="4" customWidth="1"/>
    <col min="1038" max="1038" width="9.140625" style="4"/>
    <col min="1039" max="1039" width="10.7109375" style="4" customWidth="1"/>
    <col min="1040" max="1280" width="9.140625" style="4"/>
    <col min="1281" max="1281" width="4.7109375" style="4" customWidth="1"/>
    <col min="1282" max="1282" width="9.140625" style="4" customWidth="1"/>
    <col min="1283" max="1283" width="19.140625" style="4" customWidth="1"/>
    <col min="1284" max="1292" width="9.140625" style="4" customWidth="1"/>
    <col min="1293" max="1293" width="9.28515625" style="4" customWidth="1"/>
    <col min="1294" max="1294" width="9.140625" style="4"/>
    <col min="1295" max="1295" width="10.7109375" style="4" customWidth="1"/>
    <col min="1296" max="1536" width="9.140625" style="4"/>
    <col min="1537" max="1537" width="4.7109375" style="4" customWidth="1"/>
    <col min="1538" max="1538" width="9.140625" style="4" customWidth="1"/>
    <col min="1539" max="1539" width="19.140625" style="4" customWidth="1"/>
    <col min="1540" max="1548" width="9.140625" style="4" customWidth="1"/>
    <col min="1549" max="1549" width="9.28515625" style="4" customWidth="1"/>
    <col min="1550" max="1550" width="9.140625" style="4"/>
    <col min="1551" max="1551" width="10.7109375" style="4" customWidth="1"/>
    <col min="1552" max="1792" width="9.140625" style="4"/>
    <col min="1793" max="1793" width="4.7109375" style="4" customWidth="1"/>
    <col min="1794" max="1794" width="9.140625" style="4" customWidth="1"/>
    <col min="1795" max="1795" width="19.140625" style="4" customWidth="1"/>
    <col min="1796" max="1804" width="9.140625" style="4" customWidth="1"/>
    <col min="1805" max="1805" width="9.28515625" style="4" customWidth="1"/>
    <col min="1806" max="1806" width="9.140625" style="4"/>
    <col min="1807" max="1807" width="10.7109375" style="4" customWidth="1"/>
    <col min="1808" max="2048" width="9.140625" style="4"/>
    <col min="2049" max="2049" width="4.7109375" style="4" customWidth="1"/>
    <col min="2050" max="2050" width="9.140625" style="4" customWidth="1"/>
    <col min="2051" max="2051" width="19.140625" style="4" customWidth="1"/>
    <col min="2052" max="2060" width="9.140625" style="4" customWidth="1"/>
    <col min="2061" max="2061" width="9.28515625" style="4" customWidth="1"/>
    <col min="2062" max="2062" width="9.140625" style="4"/>
    <col min="2063" max="2063" width="10.7109375" style="4" customWidth="1"/>
    <col min="2064" max="2304" width="9.140625" style="4"/>
    <col min="2305" max="2305" width="4.7109375" style="4" customWidth="1"/>
    <col min="2306" max="2306" width="9.140625" style="4" customWidth="1"/>
    <col min="2307" max="2307" width="19.140625" style="4" customWidth="1"/>
    <col min="2308" max="2316" width="9.140625" style="4" customWidth="1"/>
    <col min="2317" max="2317" width="9.28515625" style="4" customWidth="1"/>
    <col min="2318" max="2318" width="9.140625" style="4"/>
    <col min="2319" max="2319" width="10.7109375" style="4" customWidth="1"/>
    <col min="2320" max="2560" width="9.140625" style="4"/>
    <col min="2561" max="2561" width="4.7109375" style="4" customWidth="1"/>
    <col min="2562" max="2562" width="9.140625" style="4" customWidth="1"/>
    <col min="2563" max="2563" width="19.140625" style="4" customWidth="1"/>
    <col min="2564" max="2572" width="9.140625" style="4" customWidth="1"/>
    <col min="2573" max="2573" width="9.28515625" style="4" customWidth="1"/>
    <col min="2574" max="2574" width="9.140625" style="4"/>
    <col min="2575" max="2575" width="10.7109375" style="4" customWidth="1"/>
    <col min="2576" max="2816" width="9.140625" style="4"/>
    <col min="2817" max="2817" width="4.7109375" style="4" customWidth="1"/>
    <col min="2818" max="2818" width="9.140625" style="4" customWidth="1"/>
    <col min="2819" max="2819" width="19.140625" style="4" customWidth="1"/>
    <col min="2820" max="2828" width="9.140625" style="4" customWidth="1"/>
    <col min="2829" max="2829" width="9.28515625" style="4" customWidth="1"/>
    <col min="2830" max="2830" width="9.140625" style="4"/>
    <col min="2831" max="2831" width="10.7109375" style="4" customWidth="1"/>
    <col min="2832" max="3072" width="9.140625" style="4"/>
    <col min="3073" max="3073" width="4.7109375" style="4" customWidth="1"/>
    <col min="3074" max="3074" width="9.140625" style="4" customWidth="1"/>
    <col min="3075" max="3075" width="19.140625" style="4" customWidth="1"/>
    <col min="3076" max="3084" width="9.140625" style="4" customWidth="1"/>
    <col min="3085" max="3085" width="9.28515625" style="4" customWidth="1"/>
    <col min="3086" max="3086" width="9.140625" style="4"/>
    <col min="3087" max="3087" width="10.7109375" style="4" customWidth="1"/>
    <col min="3088" max="3328" width="9.140625" style="4"/>
    <col min="3329" max="3329" width="4.7109375" style="4" customWidth="1"/>
    <col min="3330" max="3330" width="9.140625" style="4" customWidth="1"/>
    <col min="3331" max="3331" width="19.140625" style="4" customWidth="1"/>
    <col min="3332" max="3340" width="9.140625" style="4" customWidth="1"/>
    <col min="3341" max="3341" width="9.28515625" style="4" customWidth="1"/>
    <col min="3342" max="3342" width="9.140625" style="4"/>
    <col min="3343" max="3343" width="10.7109375" style="4" customWidth="1"/>
    <col min="3344" max="3584" width="9.140625" style="4"/>
    <col min="3585" max="3585" width="4.7109375" style="4" customWidth="1"/>
    <col min="3586" max="3586" width="9.140625" style="4" customWidth="1"/>
    <col min="3587" max="3587" width="19.140625" style="4" customWidth="1"/>
    <col min="3588" max="3596" width="9.140625" style="4" customWidth="1"/>
    <col min="3597" max="3597" width="9.28515625" style="4" customWidth="1"/>
    <col min="3598" max="3598" width="9.140625" style="4"/>
    <col min="3599" max="3599" width="10.7109375" style="4" customWidth="1"/>
    <col min="3600" max="3840" width="9.140625" style="4"/>
    <col min="3841" max="3841" width="4.7109375" style="4" customWidth="1"/>
    <col min="3842" max="3842" width="9.140625" style="4" customWidth="1"/>
    <col min="3843" max="3843" width="19.140625" style="4" customWidth="1"/>
    <col min="3844" max="3852" width="9.140625" style="4" customWidth="1"/>
    <col min="3853" max="3853" width="9.28515625" style="4" customWidth="1"/>
    <col min="3854" max="3854" width="9.140625" style="4"/>
    <col min="3855" max="3855" width="10.7109375" style="4" customWidth="1"/>
    <col min="3856" max="4096" width="9.140625" style="4"/>
    <col min="4097" max="4097" width="4.7109375" style="4" customWidth="1"/>
    <col min="4098" max="4098" width="9.140625" style="4" customWidth="1"/>
    <col min="4099" max="4099" width="19.140625" style="4" customWidth="1"/>
    <col min="4100" max="4108" width="9.140625" style="4" customWidth="1"/>
    <col min="4109" max="4109" width="9.28515625" style="4" customWidth="1"/>
    <col min="4110" max="4110" width="9.140625" style="4"/>
    <col min="4111" max="4111" width="10.7109375" style="4" customWidth="1"/>
    <col min="4112" max="4352" width="9.140625" style="4"/>
    <col min="4353" max="4353" width="4.7109375" style="4" customWidth="1"/>
    <col min="4354" max="4354" width="9.140625" style="4" customWidth="1"/>
    <col min="4355" max="4355" width="19.140625" style="4" customWidth="1"/>
    <col min="4356" max="4364" width="9.140625" style="4" customWidth="1"/>
    <col min="4365" max="4365" width="9.28515625" style="4" customWidth="1"/>
    <col min="4366" max="4366" width="9.140625" style="4"/>
    <col min="4367" max="4367" width="10.7109375" style="4" customWidth="1"/>
    <col min="4368" max="4608" width="9.140625" style="4"/>
    <col min="4609" max="4609" width="4.7109375" style="4" customWidth="1"/>
    <col min="4610" max="4610" width="9.140625" style="4" customWidth="1"/>
    <col min="4611" max="4611" width="19.140625" style="4" customWidth="1"/>
    <col min="4612" max="4620" width="9.140625" style="4" customWidth="1"/>
    <col min="4621" max="4621" width="9.28515625" style="4" customWidth="1"/>
    <col min="4622" max="4622" width="9.140625" style="4"/>
    <col min="4623" max="4623" width="10.7109375" style="4" customWidth="1"/>
    <col min="4624" max="4864" width="9.140625" style="4"/>
    <col min="4865" max="4865" width="4.7109375" style="4" customWidth="1"/>
    <col min="4866" max="4866" width="9.140625" style="4" customWidth="1"/>
    <col min="4867" max="4867" width="19.140625" style="4" customWidth="1"/>
    <col min="4868" max="4876" width="9.140625" style="4" customWidth="1"/>
    <col min="4877" max="4877" width="9.28515625" style="4" customWidth="1"/>
    <col min="4878" max="4878" width="9.140625" style="4"/>
    <col min="4879" max="4879" width="10.7109375" style="4" customWidth="1"/>
    <col min="4880" max="5120" width="9.140625" style="4"/>
    <col min="5121" max="5121" width="4.7109375" style="4" customWidth="1"/>
    <col min="5122" max="5122" width="9.140625" style="4" customWidth="1"/>
    <col min="5123" max="5123" width="19.140625" style="4" customWidth="1"/>
    <col min="5124" max="5132" width="9.140625" style="4" customWidth="1"/>
    <col min="5133" max="5133" width="9.28515625" style="4" customWidth="1"/>
    <col min="5134" max="5134" width="9.140625" style="4"/>
    <col min="5135" max="5135" width="10.7109375" style="4" customWidth="1"/>
    <col min="5136" max="5376" width="9.140625" style="4"/>
    <col min="5377" max="5377" width="4.7109375" style="4" customWidth="1"/>
    <col min="5378" max="5378" width="9.140625" style="4" customWidth="1"/>
    <col min="5379" max="5379" width="19.140625" style="4" customWidth="1"/>
    <col min="5380" max="5388" width="9.140625" style="4" customWidth="1"/>
    <col min="5389" max="5389" width="9.28515625" style="4" customWidth="1"/>
    <col min="5390" max="5390" width="9.140625" style="4"/>
    <col min="5391" max="5391" width="10.7109375" style="4" customWidth="1"/>
    <col min="5392" max="5632" width="9.140625" style="4"/>
    <col min="5633" max="5633" width="4.7109375" style="4" customWidth="1"/>
    <col min="5634" max="5634" width="9.140625" style="4" customWidth="1"/>
    <col min="5635" max="5635" width="19.140625" style="4" customWidth="1"/>
    <col min="5636" max="5644" width="9.140625" style="4" customWidth="1"/>
    <col min="5645" max="5645" width="9.28515625" style="4" customWidth="1"/>
    <col min="5646" max="5646" width="9.140625" style="4"/>
    <col min="5647" max="5647" width="10.7109375" style="4" customWidth="1"/>
    <col min="5648" max="5888" width="9.140625" style="4"/>
    <col min="5889" max="5889" width="4.7109375" style="4" customWidth="1"/>
    <col min="5890" max="5890" width="9.140625" style="4" customWidth="1"/>
    <col min="5891" max="5891" width="19.140625" style="4" customWidth="1"/>
    <col min="5892" max="5900" width="9.140625" style="4" customWidth="1"/>
    <col min="5901" max="5901" width="9.28515625" style="4" customWidth="1"/>
    <col min="5902" max="5902" width="9.140625" style="4"/>
    <col min="5903" max="5903" width="10.7109375" style="4" customWidth="1"/>
    <col min="5904" max="6144" width="9.140625" style="4"/>
    <col min="6145" max="6145" width="4.7109375" style="4" customWidth="1"/>
    <col min="6146" max="6146" width="9.140625" style="4" customWidth="1"/>
    <col min="6147" max="6147" width="19.140625" style="4" customWidth="1"/>
    <col min="6148" max="6156" width="9.140625" style="4" customWidth="1"/>
    <col min="6157" max="6157" width="9.28515625" style="4" customWidth="1"/>
    <col min="6158" max="6158" width="9.140625" style="4"/>
    <col min="6159" max="6159" width="10.7109375" style="4" customWidth="1"/>
    <col min="6160" max="6400" width="9.140625" style="4"/>
    <col min="6401" max="6401" width="4.7109375" style="4" customWidth="1"/>
    <col min="6402" max="6402" width="9.140625" style="4" customWidth="1"/>
    <col min="6403" max="6403" width="19.140625" style="4" customWidth="1"/>
    <col min="6404" max="6412" width="9.140625" style="4" customWidth="1"/>
    <col min="6413" max="6413" width="9.28515625" style="4" customWidth="1"/>
    <col min="6414" max="6414" width="9.140625" style="4"/>
    <col min="6415" max="6415" width="10.7109375" style="4" customWidth="1"/>
    <col min="6416" max="6656" width="9.140625" style="4"/>
    <col min="6657" max="6657" width="4.7109375" style="4" customWidth="1"/>
    <col min="6658" max="6658" width="9.140625" style="4" customWidth="1"/>
    <col min="6659" max="6659" width="19.140625" style="4" customWidth="1"/>
    <col min="6660" max="6668" width="9.140625" style="4" customWidth="1"/>
    <col min="6669" max="6669" width="9.28515625" style="4" customWidth="1"/>
    <col min="6670" max="6670" width="9.140625" style="4"/>
    <col min="6671" max="6671" width="10.7109375" style="4" customWidth="1"/>
    <col min="6672" max="6912" width="9.140625" style="4"/>
    <col min="6913" max="6913" width="4.7109375" style="4" customWidth="1"/>
    <col min="6914" max="6914" width="9.140625" style="4" customWidth="1"/>
    <col min="6915" max="6915" width="19.140625" style="4" customWidth="1"/>
    <col min="6916" max="6924" width="9.140625" style="4" customWidth="1"/>
    <col min="6925" max="6925" width="9.28515625" style="4" customWidth="1"/>
    <col min="6926" max="6926" width="9.140625" style="4"/>
    <col min="6927" max="6927" width="10.7109375" style="4" customWidth="1"/>
    <col min="6928" max="7168" width="9.140625" style="4"/>
    <col min="7169" max="7169" width="4.7109375" style="4" customWidth="1"/>
    <col min="7170" max="7170" width="9.140625" style="4" customWidth="1"/>
    <col min="7171" max="7171" width="19.140625" style="4" customWidth="1"/>
    <col min="7172" max="7180" width="9.140625" style="4" customWidth="1"/>
    <col min="7181" max="7181" width="9.28515625" style="4" customWidth="1"/>
    <col min="7182" max="7182" width="9.140625" style="4"/>
    <col min="7183" max="7183" width="10.7109375" style="4" customWidth="1"/>
    <col min="7184" max="7424" width="9.140625" style="4"/>
    <col min="7425" max="7425" width="4.7109375" style="4" customWidth="1"/>
    <col min="7426" max="7426" width="9.140625" style="4" customWidth="1"/>
    <col min="7427" max="7427" width="19.140625" style="4" customWidth="1"/>
    <col min="7428" max="7436" width="9.140625" style="4" customWidth="1"/>
    <col min="7437" max="7437" width="9.28515625" style="4" customWidth="1"/>
    <col min="7438" max="7438" width="9.140625" style="4"/>
    <col min="7439" max="7439" width="10.7109375" style="4" customWidth="1"/>
    <col min="7440" max="7680" width="9.140625" style="4"/>
    <col min="7681" max="7681" width="4.7109375" style="4" customWidth="1"/>
    <col min="7682" max="7682" width="9.140625" style="4" customWidth="1"/>
    <col min="7683" max="7683" width="19.140625" style="4" customWidth="1"/>
    <col min="7684" max="7692" width="9.140625" style="4" customWidth="1"/>
    <col min="7693" max="7693" width="9.28515625" style="4" customWidth="1"/>
    <col min="7694" max="7694" width="9.140625" style="4"/>
    <col min="7695" max="7695" width="10.7109375" style="4" customWidth="1"/>
    <col min="7696" max="7936" width="9.140625" style="4"/>
    <col min="7937" max="7937" width="4.7109375" style="4" customWidth="1"/>
    <col min="7938" max="7938" width="9.140625" style="4" customWidth="1"/>
    <col min="7939" max="7939" width="19.140625" style="4" customWidth="1"/>
    <col min="7940" max="7948" width="9.140625" style="4" customWidth="1"/>
    <col min="7949" max="7949" width="9.28515625" style="4" customWidth="1"/>
    <col min="7950" max="7950" width="9.140625" style="4"/>
    <col min="7951" max="7951" width="10.7109375" style="4" customWidth="1"/>
    <col min="7952" max="8192" width="9.140625" style="4"/>
    <col min="8193" max="8193" width="4.7109375" style="4" customWidth="1"/>
    <col min="8194" max="8194" width="9.140625" style="4" customWidth="1"/>
    <col min="8195" max="8195" width="19.140625" style="4" customWidth="1"/>
    <col min="8196" max="8204" width="9.140625" style="4" customWidth="1"/>
    <col min="8205" max="8205" width="9.28515625" style="4" customWidth="1"/>
    <col min="8206" max="8206" width="9.140625" style="4"/>
    <col min="8207" max="8207" width="10.7109375" style="4" customWidth="1"/>
    <col min="8208" max="8448" width="9.140625" style="4"/>
    <col min="8449" max="8449" width="4.7109375" style="4" customWidth="1"/>
    <col min="8450" max="8450" width="9.140625" style="4" customWidth="1"/>
    <col min="8451" max="8451" width="19.140625" style="4" customWidth="1"/>
    <col min="8452" max="8460" width="9.140625" style="4" customWidth="1"/>
    <col min="8461" max="8461" width="9.28515625" style="4" customWidth="1"/>
    <col min="8462" max="8462" width="9.140625" style="4"/>
    <col min="8463" max="8463" width="10.7109375" style="4" customWidth="1"/>
    <col min="8464" max="8704" width="9.140625" style="4"/>
    <col min="8705" max="8705" width="4.7109375" style="4" customWidth="1"/>
    <col min="8706" max="8706" width="9.140625" style="4" customWidth="1"/>
    <col min="8707" max="8707" width="19.140625" style="4" customWidth="1"/>
    <col min="8708" max="8716" width="9.140625" style="4" customWidth="1"/>
    <col min="8717" max="8717" width="9.28515625" style="4" customWidth="1"/>
    <col min="8718" max="8718" width="9.140625" style="4"/>
    <col min="8719" max="8719" width="10.7109375" style="4" customWidth="1"/>
    <col min="8720" max="8960" width="9.140625" style="4"/>
    <col min="8961" max="8961" width="4.7109375" style="4" customWidth="1"/>
    <col min="8962" max="8962" width="9.140625" style="4" customWidth="1"/>
    <col min="8963" max="8963" width="19.140625" style="4" customWidth="1"/>
    <col min="8964" max="8972" width="9.140625" style="4" customWidth="1"/>
    <col min="8973" max="8973" width="9.28515625" style="4" customWidth="1"/>
    <col min="8974" max="8974" width="9.140625" style="4"/>
    <col min="8975" max="8975" width="10.7109375" style="4" customWidth="1"/>
    <col min="8976" max="9216" width="9.140625" style="4"/>
    <col min="9217" max="9217" width="4.7109375" style="4" customWidth="1"/>
    <col min="9218" max="9218" width="9.140625" style="4" customWidth="1"/>
    <col min="9219" max="9219" width="19.140625" style="4" customWidth="1"/>
    <col min="9220" max="9228" width="9.140625" style="4" customWidth="1"/>
    <col min="9229" max="9229" width="9.28515625" style="4" customWidth="1"/>
    <col min="9230" max="9230" width="9.140625" style="4"/>
    <col min="9231" max="9231" width="10.7109375" style="4" customWidth="1"/>
    <col min="9232" max="9472" width="9.140625" style="4"/>
    <col min="9473" max="9473" width="4.7109375" style="4" customWidth="1"/>
    <col min="9474" max="9474" width="9.140625" style="4" customWidth="1"/>
    <col min="9475" max="9475" width="19.140625" style="4" customWidth="1"/>
    <col min="9476" max="9484" width="9.140625" style="4" customWidth="1"/>
    <col min="9485" max="9485" width="9.28515625" style="4" customWidth="1"/>
    <col min="9486" max="9486" width="9.140625" style="4"/>
    <col min="9487" max="9487" width="10.7109375" style="4" customWidth="1"/>
    <col min="9488" max="9728" width="9.140625" style="4"/>
    <col min="9729" max="9729" width="4.7109375" style="4" customWidth="1"/>
    <col min="9730" max="9730" width="9.140625" style="4" customWidth="1"/>
    <col min="9731" max="9731" width="19.140625" style="4" customWidth="1"/>
    <col min="9732" max="9740" width="9.140625" style="4" customWidth="1"/>
    <col min="9741" max="9741" width="9.28515625" style="4" customWidth="1"/>
    <col min="9742" max="9742" width="9.140625" style="4"/>
    <col min="9743" max="9743" width="10.7109375" style="4" customWidth="1"/>
    <col min="9744" max="9984" width="9.140625" style="4"/>
    <col min="9985" max="9985" width="4.7109375" style="4" customWidth="1"/>
    <col min="9986" max="9986" width="9.140625" style="4" customWidth="1"/>
    <col min="9987" max="9987" width="19.140625" style="4" customWidth="1"/>
    <col min="9988" max="9996" width="9.140625" style="4" customWidth="1"/>
    <col min="9997" max="9997" width="9.28515625" style="4" customWidth="1"/>
    <col min="9998" max="9998" width="9.140625" style="4"/>
    <col min="9999" max="9999" width="10.7109375" style="4" customWidth="1"/>
    <col min="10000" max="10240" width="9.140625" style="4"/>
    <col min="10241" max="10241" width="4.7109375" style="4" customWidth="1"/>
    <col min="10242" max="10242" width="9.140625" style="4" customWidth="1"/>
    <col min="10243" max="10243" width="19.140625" style="4" customWidth="1"/>
    <col min="10244" max="10252" width="9.140625" style="4" customWidth="1"/>
    <col min="10253" max="10253" width="9.28515625" style="4" customWidth="1"/>
    <col min="10254" max="10254" width="9.140625" style="4"/>
    <col min="10255" max="10255" width="10.7109375" style="4" customWidth="1"/>
    <col min="10256" max="10496" width="9.140625" style="4"/>
    <col min="10497" max="10497" width="4.7109375" style="4" customWidth="1"/>
    <col min="10498" max="10498" width="9.140625" style="4" customWidth="1"/>
    <col min="10499" max="10499" width="19.140625" style="4" customWidth="1"/>
    <col min="10500" max="10508" width="9.140625" style="4" customWidth="1"/>
    <col min="10509" max="10509" width="9.28515625" style="4" customWidth="1"/>
    <col min="10510" max="10510" width="9.140625" style="4"/>
    <col min="10511" max="10511" width="10.7109375" style="4" customWidth="1"/>
    <col min="10512" max="10752" width="9.140625" style="4"/>
    <col min="10753" max="10753" width="4.7109375" style="4" customWidth="1"/>
    <col min="10754" max="10754" width="9.140625" style="4" customWidth="1"/>
    <col min="10755" max="10755" width="19.140625" style="4" customWidth="1"/>
    <col min="10756" max="10764" width="9.140625" style="4" customWidth="1"/>
    <col min="10765" max="10765" width="9.28515625" style="4" customWidth="1"/>
    <col min="10766" max="10766" width="9.140625" style="4"/>
    <col min="10767" max="10767" width="10.7109375" style="4" customWidth="1"/>
    <col min="10768" max="11008" width="9.140625" style="4"/>
    <col min="11009" max="11009" width="4.7109375" style="4" customWidth="1"/>
    <col min="11010" max="11010" width="9.140625" style="4" customWidth="1"/>
    <col min="11011" max="11011" width="19.140625" style="4" customWidth="1"/>
    <col min="11012" max="11020" width="9.140625" style="4" customWidth="1"/>
    <col min="11021" max="11021" width="9.28515625" style="4" customWidth="1"/>
    <col min="11022" max="11022" width="9.140625" style="4"/>
    <col min="11023" max="11023" width="10.7109375" style="4" customWidth="1"/>
    <col min="11024" max="11264" width="9.140625" style="4"/>
    <col min="11265" max="11265" width="4.7109375" style="4" customWidth="1"/>
    <col min="11266" max="11266" width="9.140625" style="4" customWidth="1"/>
    <col min="11267" max="11267" width="19.140625" style="4" customWidth="1"/>
    <col min="11268" max="11276" width="9.140625" style="4" customWidth="1"/>
    <col min="11277" max="11277" width="9.28515625" style="4" customWidth="1"/>
    <col min="11278" max="11278" width="9.140625" style="4"/>
    <col min="11279" max="11279" width="10.7109375" style="4" customWidth="1"/>
    <col min="11280" max="11520" width="9.140625" style="4"/>
    <col min="11521" max="11521" width="4.7109375" style="4" customWidth="1"/>
    <col min="11522" max="11522" width="9.140625" style="4" customWidth="1"/>
    <col min="11523" max="11523" width="19.140625" style="4" customWidth="1"/>
    <col min="11524" max="11532" width="9.140625" style="4" customWidth="1"/>
    <col min="11533" max="11533" width="9.28515625" style="4" customWidth="1"/>
    <col min="11534" max="11534" width="9.140625" style="4"/>
    <col min="11535" max="11535" width="10.7109375" style="4" customWidth="1"/>
    <col min="11536" max="11776" width="9.140625" style="4"/>
    <col min="11777" max="11777" width="4.7109375" style="4" customWidth="1"/>
    <col min="11778" max="11778" width="9.140625" style="4" customWidth="1"/>
    <col min="11779" max="11779" width="19.140625" style="4" customWidth="1"/>
    <col min="11780" max="11788" width="9.140625" style="4" customWidth="1"/>
    <col min="11789" max="11789" width="9.28515625" style="4" customWidth="1"/>
    <col min="11790" max="11790" width="9.140625" style="4"/>
    <col min="11791" max="11791" width="10.7109375" style="4" customWidth="1"/>
    <col min="11792" max="12032" width="9.140625" style="4"/>
    <col min="12033" max="12033" width="4.7109375" style="4" customWidth="1"/>
    <col min="12034" max="12034" width="9.140625" style="4" customWidth="1"/>
    <col min="12035" max="12035" width="19.140625" style="4" customWidth="1"/>
    <col min="12036" max="12044" width="9.140625" style="4" customWidth="1"/>
    <col min="12045" max="12045" width="9.28515625" style="4" customWidth="1"/>
    <col min="12046" max="12046" width="9.140625" style="4"/>
    <col min="12047" max="12047" width="10.7109375" style="4" customWidth="1"/>
    <col min="12048" max="12288" width="9.140625" style="4"/>
    <col min="12289" max="12289" width="4.7109375" style="4" customWidth="1"/>
    <col min="12290" max="12290" width="9.140625" style="4" customWidth="1"/>
    <col min="12291" max="12291" width="19.140625" style="4" customWidth="1"/>
    <col min="12292" max="12300" width="9.140625" style="4" customWidth="1"/>
    <col min="12301" max="12301" width="9.28515625" style="4" customWidth="1"/>
    <col min="12302" max="12302" width="9.140625" style="4"/>
    <col min="12303" max="12303" width="10.7109375" style="4" customWidth="1"/>
    <col min="12304" max="12544" width="9.140625" style="4"/>
    <col min="12545" max="12545" width="4.7109375" style="4" customWidth="1"/>
    <col min="12546" max="12546" width="9.140625" style="4" customWidth="1"/>
    <col min="12547" max="12547" width="19.140625" style="4" customWidth="1"/>
    <col min="12548" max="12556" width="9.140625" style="4" customWidth="1"/>
    <col min="12557" max="12557" width="9.28515625" style="4" customWidth="1"/>
    <col min="12558" max="12558" width="9.140625" style="4"/>
    <col min="12559" max="12559" width="10.7109375" style="4" customWidth="1"/>
    <col min="12560" max="12800" width="9.140625" style="4"/>
    <col min="12801" max="12801" width="4.7109375" style="4" customWidth="1"/>
    <col min="12802" max="12802" width="9.140625" style="4" customWidth="1"/>
    <col min="12803" max="12803" width="19.140625" style="4" customWidth="1"/>
    <col min="12804" max="12812" width="9.140625" style="4" customWidth="1"/>
    <col min="12813" max="12813" width="9.28515625" style="4" customWidth="1"/>
    <col min="12814" max="12814" width="9.140625" style="4"/>
    <col min="12815" max="12815" width="10.7109375" style="4" customWidth="1"/>
    <col min="12816" max="13056" width="9.140625" style="4"/>
    <col min="13057" max="13057" width="4.7109375" style="4" customWidth="1"/>
    <col min="13058" max="13058" width="9.140625" style="4" customWidth="1"/>
    <col min="13059" max="13059" width="19.140625" style="4" customWidth="1"/>
    <col min="13060" max="13068" width="9.140625" style="4" customWidth="1"/>
    <col min="13069" max="13069" width="9.28515625" style="4" customWidth="1"/>
    <col min="13070" max="13070" width="9.140625" style="4"/>
    <col min="13071" max="13071" width="10.7109375" style="4" customWidth="1"/>
    <col min="13072" max="13312" width="9.140625" style="4"/>
    <col min="13313" max="13313" width="4.7109375" style="4" customWidth="1"/>
    <col min="13314" max="13314" width="9.140625" style="4" customWidth="1"/>
    <col min="13315" max="13315" width="19.140625" style="4" customWidth="1"/>
    <col min="13316" max="13324" width="9.140625" style="4" customWidth="1"/>
    <col min="13325" max="13325" width="9.28515625" style="4" customWidth="1"/>
    <col min="13326" max="13326" width="9.140625" style="4"/>
    <col min="13327" max="13327" width="10.7109375" style="4" customWidth="1"/>
    <col min="13328" max="13568" width="9.140625" style="4"/>
    <col min="13569" max="13569" width="4.7109375" style="4" customWidth="1"/>
    <col min="13570" max="13570" width="9.140625" style="4" customWidth="1"/>
    <col min="13571" max="13571" width="19.140625" style="4" customWidth="1"/>
    <col min="13572" max="13580" width="9.140625" style="4" customWidth="1"/>
    <col min="13581" max="13581" width="9.28515625" style="4" customWidth="1"/>
    <col min="13582" max="13582" width="9.140625" style="4"/>
    <col min="13583" max="13583" width="10.7109375" style="4" customWidth="1"/>
    <col min="13584" max="13824" width="9.140625" style="4"/>
    <col min="13825" max="13825" width="4.7109375" style="4" customWidth="1"/>
    <col min="13826" max="13826" width="9.140625" style="4" customWidth="1"/>
    <col min="13827" max="13827" width="19.140625" style="4" customWidth="1"/>
    <col min="13828" max="13836" width="9.140625" style="4" customWidth="1"/>
    <col min="13837" max="13837" width="9.28515625" style="4" customWidth="1"/>
    <col min="13838" max="13838" width="9.140625" style="4"/>
    <col min="13839" max="13839" width="10.7109375" style="4" customWidth="1"/>
    <col min="13840" max="14080" width="9.140625" style="4"/>
    <col min="14081" max="14081" width="4.7109375" style="4" customWidth="1"/>
    <col min="14082" max="14082" width="9.140625" style="4" customWidth="1"/>
    <col min="14083" max="14083" width="19.140625" style="4" customWidth="1"/>
    <col min="14084" max="14092" width="9.140625" style="4" customWidth="1"/>
    <col min="14093" max="14093" width="9.28515625" style="4" customWidth="1"/>
    <col min="14094" max="14094" width="9.140625" style="4"/>
    <col min="14095" max="14095" width="10.7109375" style="4" customWidth="1"/>
    <col min="14096" max="14336" width="9.140625" style="4"/>
    <col min="14337" max="14337" width="4.7109375" style="4" customWidth="1"/>
    <col min="14338" max="14338" width="9.140625" style="4" customWidth="1"/>
    <col min="14339" max="14339" width="19.140625" style="4" customWidth="1"/>
    <col min="14340" max="14348" width="9.140625" style="4" customWidth="1"/>
    <col min="14349" max="14349" width="9.28515625" style="4" customWidth="1"/>
    <col min="14350" max="14350" width="9.140625" style="4"/>
    <col min="14351" max="14351" width="10.7109375" style="4" customWidth="1"/>
    <col min="14352" max="14592" width="9.140625" style="4"/>
    <col min="14593" max="14593" width="4.7109375" style="4" customWidth="1"/>
    <col min="14594" max="14594" width="9.140625" style="4" customWidth="1"/>
    <col min="14595" max="14595" width="19.140625" style="4" customWidth="1"/>
    <col min="14596" max="14604" width="9.140625" style="4" customWidth="1"/>
    <col min="14605" max="14605" width="9.28515625" style="4" customWidth="1"/>
    <col min="14606" max="14606" width="9.140625" style="4"/>
    <col min="14607" max="14607" width="10.7109375" style="4" customWidth="1"/>
    <col min="14608" max="14848" width="9.140625" style="4"/>
    <col min="14849" max="14849" width="4.7109375" style="4" customWidth="1"/>
    <col min="14850" max="14850" width="9.140625" style="4" customWidth="1"/>
    <col min="14851" max="14851" width="19.140625" style="4" customWidth="1"/>
    <col min="14852" max="14860" width="9.140625" style="4" customWidth="1"/>
    <col min="14861" max="14861" width="9.28515625" style="4" customWidth="1"/>
    <col min="14862" max="14862" width="9.140625" style="4"/>
    <col min="14863" max="14863" width="10.7109375" style="4" customWidth="1"/>
    <col min="14864" max="15104" width="9.140625" style="4"/>
    <col min="15105" max="15105" width="4.7109375" style="4" customWidth="1"/>
    <col min="15106" max="15106" width="9.140625" style="4" customWidth="1"/>
    <col min="15107" max="15107" width="19.140625" style="4" customWidth="1"/>
    <col min="15108" max="15116" width="9.140625" style="4" customWidth="1"/>
    <col min="15117" max="15117" width="9.28515625" style="4" customWidth="1"/>
    <col min="15118" max="15118" width="9.140625" style="4"/>
    <col min="15119" max="15119" width="10.7109375" style="4" customWidth="1"/>
    <col min="15120" max="15360" width="9.140625" style="4"/>
    <col min="15361" max="15361" width="4.7109375" style="4" customWidth="1"/>
    <col min="15362" max="15362" width="9.140625" style="4" customWidth="1"/>
    <col min="15363" max="15363" width="19.140625" style="4" customWidth="1"/>
    <col min="15364" max="15372" width="9.140625" style="4" customWidth="1"/>
    <col min="15373" max="15373" width="9.28515625" style="4" customWidth="1"/>
    <col min="15374" max="15374" width="9.140625" style="4"/>
    <col min="15375" max="15375" width="10.7109375" style="4" customWidth="1"/>
    <col min="15376" max="15616" width="9.140625" style="4"/>
    <col min="15617" max="15617" width="4.7109375" style="4" customWidth="1"/>
    <col min="15618" max="15618" width="9.140625" style="4" customWidth="1"/>
    <col min="15619" max="15619" width="19.140625" style="4" customWidth="1"/>
    <col min="15620" max="15628" width="9.140625" style="4" customWidth="1"/>
    <col min="15629" max="15629" width="9.28515625" style="4" customWidth="1"/>
    <col min="15630" max="15630" width="9.140625" style="4"/>
    <col min="15631" max="15631" width="10.7109375" style="4" customWidth="1"/>
    <col min="15632" max="15872" width="9.140625" style="4"/>
    <col min="15873" max="15873" width="4.7109375" style="4" customWidth="1"/>
    <col min="15874" max="15874" width="9.140625" style="4" customWidth="1"/>
    <col min="15875" max="15875" width="19.140625" style="4" customWidth="1"/>
    <col min="15876" max="15884" width="9.140625" style="4" customWidth="1"/>
    <col min="15885" max="15885" width="9.28515625" style="4" customWidth="1"/>
    <col min="15886" max="15886" width="9.140625" style="4"/>
    <col min="15887" max="15887" width="10.7109375" style="4" customWidth="1"/>
    <col min="15888" max="16128" width="9.140625" style="4"/>
    <col min="16129" max="16129" width="4.7109375" style="4" customWidth="1"/>
    <col min="16130" max="16130" width="9.140625" style="4" customWidth="1"/>
    <col min="16131" max="16131" width="19.140625" style="4" customWidth="1"/>
    <col min="16132" max="16140" width="9.140625" style="4" customWidth="1"/>
    <col min="16141" max="16141" width="9.28515625" style="4" customWidth="1"/>
    <col min="16142" max="16142" width="9.140625" style="4"/>
    <col min="16143" max="16143" width="10.7109375" style="4" customWidth="1"/>
    <col min="16144" max="16384" width="9.140625" style="4"/>
  </cols>
  <sheetData>
    <row r="1" spans="1:16">
      <c r="A1" s="263" t="s">
        <v>10</v>
      </c>
      <c r="B1" s="263"/>
      <c r="C1" s="263"/>
      <c r="L1" s="3"/>
      <c r="M1" s="3"/>
      <c r="N1" s="3"/>
      <c r="O1" s="3"/>
      <c r="P1" s="3"/>
    </row>
    <row r="2" spans="1:16" ht="12.75" customHeight="1">
      <c r="A2" s="263"/>
      <c r="B2" s="263"/>
      <c r="C2" s="263"/>
      <c r="D2" s="5"/>
      <c r="E2" s="5"/>
      <c r="F2" s="5"/>
      <c r="G2" s="5"/>
      <c r="H2" s="5"/>
      <c r="I2" s="5"/>
      <c r="J2" s="5"/>
      <c r="L2" s="3"/>
      <c r="M2" s="3"/>
      <c r="N2" s="3"/>
      <c r="O2" s="3"/>
      <c r="P2" s="3"/>
    </row>
    <row r="3" spans="1:16" ht="12.75" customHeight="1">
      <c r="A3" s="263"/>
      <c r="B3" s="263"/>
      <c r="C3" s="263"/>
      <c r="D3" s="5"/>
      <c r="E3" s="5"/>
      <c r="F3" s="5"/>
      <c r="G3" s="5"/>
      <c r="H3" s="5"/>
      <c r="I3" s="5"/>
      <c r="J3" s="5"/>
      <c r="L3" s="3"/>
      <c r="M3" s="3"/>
      <c r="N3" s="3"/>
      <c r="O3" s="3"/>
      <c r="P3" s="3"/>
    </row>
    <row r="4" spans="1:16" ht="12.75" customHeight="1">
      <c r="A4" s="263"/>
      <c r="B4" s="263"/>
      <c r="C4" s="263"/>
      <c r="D4" s="5"/>
      <c r="E4" s="5"/>
      <c r="F4" s="5"/>
      <c r="G4" s="5"/>
      <c r="H4" s="5"/>
      <c r="I4" s="5"/>
      <c r="J4" s="5"/>
    </row>
    <row r="5" spans="1:16" ht="12.75" customHeight="1">
      <c r="A5" s="264"/>
      <c r="B5" s="264"/>
      <c r="C5" s="264"/>
    </row>
    <row r="6" spans="1:16">
      <c r="A6" s="265" t="s">
        <v>11</v>
      </c>
      <c r="B6" s="266" t="s">
        <v>12</v>
      </c>
      <c r="C6" s="267"/>
    </row>
    <row r="7" spans="1:16" ht="12.75" customHeight="1">
      <c r="A7" s="265"/>
      <c r="B7" s="266"/>
      <c r="C7" s="267"/>
    </row>
    <row r="8" spans="1:16" ht="15">
      <c r="A8" s="6">
        <v>1</v>
      </c>
      <c r="B8" s="255" t="s">
        <v>147</v>
      </c>
      <c r="C8" s="256"/>
    </row>
    <row r="9" spans="1:16" ht="15">
      <c r="A9" s="6">
        <v>2</v>
      </c>
      <c r="B9" s="255" t="s">
        <v>148</v>
      </c>
      <c r="C9" s="256"/>
    </row>
    <row r="10" spans="1:16" ht="15">
      <c r="A10" s="6">
        <v>3</v>
      </c>
      <c r="B10" s="255" t="s">
        <v>149</v>
      </c>
      <c r="C10" s="256"/>
    </row>
    <row r="11" spans="1:16" ht="15">
      <c r="A11" s="6">
        <v>4</v>
      </c>
      <c r="B11" s="255" t="s">
        <v>150</v>
      </c>
      <c r="C11" s="256"/>
    </row>
    <row r="12" spans="1:16" ht="15">
      <c r="A12" s="6">
        <v>5</v>
      </c>
      <c r="B12" s="255" t="s">
        <v>151</v>
      </c>
      <c r="C12" s="256"/>
    </row>
    <row r="13" spans="1:16" ht="15">
      <c r="A13" s="6">
        <v>6</v>
      </c>
      <c r="B13" s="255" t="s">
        <v>152</v>
      </c>
      <c r="C13" s="256"/>
    </row>
    <row r="14" spans="1:16" ht="15">
      <c r="A14" s="6">
        <v>7</v>
      </c>
      <c r="B14" s="255" t="s">
        <v>153</v>
      </c>
      <c r="C14" s="256"/>
    </row>
    <row r="15" spans="1:16" ht="15">
      <c r="A15" s="6">
        <v>8</v>
      </c>
      <c r="B15" s="255" t="s">
        <v>154</v>
      </c>
      <c r="C15" s="256"/>
    </row>
    <row r="16" spans="1:16" ht="15">
      <c r="A16" s="6">
        <v>9</v>
      </c>
      <c r="B16" s="255" t="s">
        <v>155</v>
      </c>
      <c r="C16" s="256"/>
    </row>
    <row r="17" spans="1:3" ht="15">
      <c r="A17" s="6">
        <v>10</v>
      </c>
      <c r="B17" s="255" t="s">
        <v>156</v>
      </c>
      <c r="C17" s="256"/>
    </row>
    <row r="18" spans="1:3" ht="15">
      <c r="A18" s="6">
        <v>11</v>
      </c>
      <c r="B18" s="255" t="s">
        <v>157</v>
      </c>
      <c r="C18" s="256"/>
    </row>
    <row r="19" spans="1:3" ht="15">
      <c r="A19" s="6">
        <v>12</v>
      </c>
      <c r="B19" s="255" t="s">
        <v>158</v>
      </c>
      <c r="C19" s="256"/>
    </row>
    <row r="20" spans="1:3" ht="15">
      <c r="A20" s="6">
        <v>13</v>
      </c>
      <c r="B20" s="255" t="s">
        <v>159</v>
      </c>
      <c r="C20" s="256"/>
    </row>
    <row r="21" spans="1:3" ht="15">
      <c r="A21" s="6">
        <v>14</v>
      </c>
      <c r="B21" s="255" t="s">
        <v>160</v>
      </c>
      <c r="C21" s="256"/>
    </row>
    <row r="22" spans="1:3" ht="15">
      <c r="A22" s="6">
        <v>15</v>
      </c>
      <c r="B22" s="255" t="s">
        <v>161</v>
      </c>
      <c r="C22" s="256"/>
    </row>
    <row r="23" spans="1:3" ht="15">
      <c r="A23" s="6">
        <v>16</v>
      </c>
      <c r="B23" s="255" t="s">
        <v>162</v>
      </c>
      <c r="C23" s="256"/>
    </row>
    <row r="24" spans="1:3" ht="15">
      <c r="A24" s="6">
        <v>17</v>
      </c>
      <c r="B24" s="255" t="s">
        <v>163</v>
      </c>
      <c r="C24" s="256"/>
    </row>
    <row r="25" spans="1:3" ht="15">
      <c r="A25" s="6">
        <v>18</v>
      </c>
      <c r="B25" s="255" t="s">
        <v>164</v>
      </c>
      <c r="C25" s="256"/>
    </row>
    <row r="26" spans="1:3" ht="15">
      <c r="A26" s="6">
        <v>19</v>
      </c>
      <c r="B26" s="255" t="s">
        <v>165</v>
      </c>
      <c r="C26" s="256"/>
    </row>
    <row r="27" spans="1:3" ht="15">
      <c r="A27" s="6">
        <v>20</v>
      </c>
      <c r="B27" s="255" t="s">
        <v>166</v>
      </c>
      <c r="C27" s="256"/>
    </row>
    <row r="28" spans="1:3" ht="15">
      <c r="A28" s="6">
        <v>21</v>
      </c>
      <c r="B28" s="255" t="s">
        <v>167</v>
      </c>
      <c r="C28" s="256"/>
    </row>
    <row r="29" spans="1:3" ht="15">
      <c r="A29" s="6">
        <v>22</v>
      </c>
      <c r="B29" s="255" t="s">
        <v>168</v>
      </c>
      <c r="C29" s="256"/>
    </row>
    <row r="30" spans="1:3" ht="15">
      <c r="A30" s="6">
        <v>23</v>
      </c>
      <c r="B30" s="255" t="s">
        <v>169</v>
      </c>
      <c r="C30" s="256"/>
    </row>
    <row r="31" spans="1:3" ht="15">
      <c r="A31" s="6">
        <v>24</v>
      </c>
      <c r="B31" s="255" t="s">
        <v>170</v>
      </c>
      <c r="C31" s="256"/>
    </row>
    <row r="32" spans="1:3" ht="15">
      <c r="A32" s="6">
        <v>25</v>
      </c>
      <c r="B32" s="255" t="s">
        <v>171</v>
      </c>
      <c r="C32" s="256"/>
    </row>
    <row r="33" spans="1:3" ht="15">
      <c r="A33" s="6">
        <v>26</v>
      </c>
      <c r="B33" s="255" t="s">
        <v>172</v>
      </c>
      <c r="C33" s="256"/>
    </row>
    <row r="34" spans="1:3" ht="15">
      <c r="A34" s="6">
        <v>27</v>
      </c>
      <c r="B34" s="255" t="s">
        <v>173</v>
      </c>
      <c r="C34" s="256"/>
    </row>
    <row r="35" spans="1:3" ht="15">
      <c r="A35" s="6"/>
      <c r="B35" s="261"/>
      <c r="C35" s="262"/>
    </row>
    <row r="36" spans="1:3" ht="15">
      <c r="A36" s="6"/>
      <c r="B36" s="255"/>
      <c r="C36" s="256"/>
    </row>
    <row r="37" spans="1:3" ht="15">
      <c r="A37" s="6"/>
      <c r="B37" s="255"/>
      <c r="C37" s="256"/>
    </row>
    <row r="38" spans="1:3" ht="15">
      <c r="A38" s="6"/>
      <c r="B38" s="255"/>
      <c r="C38" s="256"/>
    </row>
    <row r="39" spans="1:3" ht="15">
      <c r="A39" s="6"/>
      <c r="B39" s="255"/>
      <c r="C39" s="256"/>
    </row>
    <row r="40" spans="1:3" ht="15">
      <c r="A40" s="6"/>
      <c r="B40" s="255"/>
      <c r="C40" s="256"/>
    </row>
    <row r="41" spans="1:3" ht="15">
      <c r="A41" s="6"/>
      <c r="B41" s="255"/>
      <c r="C41" s="256"/>
    </row>
    <row r="42" spans="1:3" ht="15">
      <c r="A42" s="6"/>
      <c r="B42" s="255"/>
      <c r="C42" s="256"/>
    </row>
    <row r="43" spans="1:3" ht="15">
      <c r="A43" s="6"/>
      <c r="B43" s="257"/>
      <c r="C43" s="258"/>
    </row>
    <row r="44" spans="1:3">
      <c r="A44" s="6"/>
      <c r="B44" s="259"/>
      <c r="C44" s="260"/>
    </row>
    <row r="45" spans="1:3">
      <c r="A45" s="6"/>
      <c r="B45" s="7"/>
      <c r="C45" s="8"/>
    </row>
    <row r="46" spans="1:3">
      <c r="A46" s="6"/>
      <c r="B46" s="251"/>
      <c r="C46" s="252"/>
    </row>
    <row r="47" spans="1:3">
      <c r="A47" s="6"/>
      <c r="B47" s="251"/>
      <c r="C47" s="252"/>
    </row>
    <row r="48" spans="1:3">
      <c r="A48" s="6"/>
      <c r="B48" s="251"/>
      <c r="C48" s="252"/>
    </row>
    <row r="49" spans="1:3" ht="13.5" thickBot="1">
      <c r="A49" s="6"/>
      <c r="B49" s="253"/>
      <c r="C49" s="254"/>
    </row>
    <row r="50" spans="1:3" ht="13.5" thickTop="1"/>
  </sheetData>
  <mergeCells count="44">
    <mergeCell ref="B16:C16"/>
    <mergeCell ref="A1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8:C48"/>
    <mergeCell ref="B49:C49"/>
    <mergeCell ref="B41:C41"/>
    <mergeCell ref="B42:C42"/>
    <mergeCell ref="B43:C43"/>
    <mergeCell ref="B44:C44"/>
    <mergeCell ref="B46:C46"/>
    <mergeCell ref="B47:C47"/>
  </mergeCells>
  <pageMargins left="0.78740157480314965" right="0.78740157480314965" top="0" bottom="0" header="0.98425196850393704" footer="0"/>
  <pageSetup paperSize="9" scale="65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>
    <tabColor rgb="FF00B050"/>
    <pageSetUpPr fitToPage="1"/>
  </sheetPr>
  <dimension ref="B1:BJ124"/>
  <sheetViews>
    <sheetView showZeros="0" tabSelected="1" zoomScaleNormal="100" workbookViewId="0">
      <selection activeCell="E2" sqref="E2"/>
    </sheetView>
  </sheetViews>
  <sheetFormatPr defaultRowHeight="12.75"/>
  <cols>
    <col min="1" max="1" width="2.7109375" style="11" customWidth="1"/>
    <col min="2" max="2" width="9.140625" style="11"/>
    <col min="3" max="3" width="25.28515625" style="11" customWidth="1"/>
    <col min="4" max="5" width="17.7109375" style="11" customWidth="1"/>
    <col min="6" max="6" width="9.85546875" style="125" customWidth="1"/>
    <col min="7" max="7" width="17.7109375" style="11" customWidth="1"/>
    <col min="8" max="8" width="17.7109375" style="125" customWidth="1"/>
    <col min="9" max="9" width="14" style="11" customWidth="1"/>
    <col min="10" max="10" width="12.42578125" style="11" customWidth="1"/>
    <col min="11" max="11" width="16.42578125" style="11" customWidth="1"/>
    <col min="12" max="12" width="15.140625" style="125" customWidth="1"/>
    <col min="13" max="13" width="17.28515625" style="11" customWidth="1"/>
    <col min="14" max="14" width="18" style="11" customWidth="1"/>
    <col min="15" max="15" width="13.28515625" style="11" customWidth="1"/>
    <col min="16" max="16" width="14.28515625" style="11" customWidth="1"/>
    <col min="17" max="17" width="16.85546875" style="11" customWidth="1"/>
    <col min="18" max="18" width="17" style="11" customWidth="1"/>
    <col min="19" max="19" width="18.42578125" style="11" customWidth="1"/>
    <col min="20" max="20" width="16.140625" style="11" customWidth="1"/>
    <col min="21" max="21" width="13.5703125" style="11" customWidth="1"/>
    <col min="22" max="22" width="12.42578125" style="11" customWidth="1"/>
    <col min="23" max="23" width="17.140625" style="11" customWidth="1"/>
    <col min="24" max="24" width="17" style="11" customWidth="1"/>
    <col min="25" max="25" width="24.140625" style="11" customWidth="1"/>
    <col min="26" max="26" width="11.7109375" style="11" customWidth="1"/>
    <col min="27" max="27" width="14.42578125" style="11" customWidth="1"/>
    <col min="28" max="28" width="12.85546875" style="11" customWidth="1"/>
    <col min="29" max="29" width="13" style="11" customWidth="1"/>
    <col min="30" max="30" width="14" style="11" customWidth="1"/>
    <col min="31" max="31" width="14.42578125" style="11" customWidth="1"/>
    <col min="32" max="32" width="13.140625" style="11" customWidth="1"/>
    <col min="33" max="33" width="9.140625" style="11"/>
    <col min="34" max="34" width="18.85546875" style="11" customWidth="1"/>
    <col min="35" max="35" width="11.7109375" style="11" customWidth="1"/>
    <col min="36" max="46" width="9.140625" style="11"/>
    <col min="47" max="47" width="16.5703125" style="11" customWidth="1"/>
    <col min="48" max="48" width="15.5703125" style="11" customWidth="1"/>
    <col min="49" max="49" width="13.5703125" style="11" customWidth="1"/>
    <col min="50" max="50" width="11.28515625" style="11" bestFit="1" customWidth="1"/>
    <col min="51" max="53" width="9.140625" style="11"/>
    <col min="54" max="54" width="16.42578125" style="11" customWidth="1"/>
    <col min="55" max="56" width="9.140625" style="11"/>
    <col min="57" max="57" width="12.140625" style="11" customWidth="1"/>
    <col min="58" max="58" width="12" style="11" customWidth="1"/>
    <col min="59" max="60" width="9.140625" style="11"/>
    <col min="61" max="61" width="9.85546875" style="11" customWidth="1"/>
    <col min="62" max="16384" width="9.140625" style="11"/>
  </cols>
  <sheetData>
    <row r="1" spans="3:62" ht="23.25" customHeight="1" thickTop="1" thickBot="1">
      <c r="G1" s="411" t="s">
        <v>73</v>
      </c>
      <c r="H1" s="412"/>
      <c r="I1" s="412"/>
      <c r="J1" s="412"/>
      <c r="K1" s="412"/>
      <c r="L1" s="412"/>
      <c r="M1" s="412"/>
      <c r="N1" s="412"/>
      <c r="O1" s="412"/>
      <c r="P1" s="412"/>
      <c r="Q1" s="413"/>
      <c r="R1" s="96"/>
    </row>
    <row r="2" spans="3:62" ht="20.25" customHeight="1" thickTop="1">
      <c r="C2" s="547">
        <f ca="1">NOW()</f>
        <v>44872.660271643515</v>
      </c>
      <c r="D2" s="37"/>
      <c r="E2" s="37"/>
      <c r="F2" s="37"/>
      <c r="G2" s="37"/>
      <c r="H2" s="37"/>
      <c r="I2" s="37"/>
      <c r="J2" s="37"/>
      <c r="M2" s="37"/>
      <c r="N2" s="37"/>
      <c r="O2" s="37"/>
      <c r="P2" s="37"/>
      <c r="Q2" s="37"/>
      <c r="R2" s="414" t="s">
        <v>20</v>
      </c>
      <c r="S2" s="415"/>
      <c r="T2" s="393">
        <v>44685</v>
      </c>
      <c r="U2" s="394"/>
      <c r="V2" s="37"/>
      <c r="Y2" s="13" t="s">
        <v>71</v>
      </c>
      <c r="Z2" s="13"/>
    </row>
    <row r="3" spans="3:62" ht="20.25" customHeight="1">
      <c r="C3" s="548"/>
      <c r="D3" s="37"/>
      <c r="E3" s="37"/>
      <c r="F3" s="37"/>
      <c r="G3" s="37"/>
      <c r="H3" s="37"/>
      <c r="I3" s="37"/>
      <c r="J3" s="37"/>
      <c r="M3" s="37"/>
      <c r="N3" s="37"/>
      <c r="O3" s="37"/>
      <c r="P3" s="37"/>
      <c r="Q3" s="37"/>
      <c r="R3" s="416"/>
      <c r="S3" s="417"/>
      <c r="T3" s="395"/>
      <c r="U3" s="396"/>
      <c r="V3" s="37"/>
      <c r="X3" s="81" t="s">
        <v>69</v>
      </c>
      <c r="Y3" s="110">
        <f>E8+O8</f>
        <v>651</v>
      </c>
      <c r="Z3" s="13"/>
    </row>
    <row r="4" spans="3:62" ht="20.25" customHeight="1">
      <c r="C4" s="37"/>
      <c r="D4" s="418" t="s">
        <v>21</v>
      </c>
      <c r="E4" s="419"/>
      <c r="F4" s="419"/>
      <c r="G4" s="419"/>
      <c r="H4" s="419"/>
      <c r="I4" s="420"/>
      <c r="J4" s="37"/>
      <c r="K4" s="37"/>
      <c r="L4" s="37"/>
      <c r="M4" s="37"/>
      <c r="N4" s="418" t="s">
        <v>21</v>
      </c>
      <c r="O4" s="419"/>
      <c r="P4" s="419"/>
      <c r="Q4" s="420"/>
      <c r="R4" s="37"/>
      <c r="S4" s="37"/>
      <c r="T4" s="37"/>
      <c r="V4" s="97"/>
      <c r="X4" s="82" t="s">
        <v>24</v>
      </c>
      <c r="Y4" s="110">
        <f>I8+Q8</f>
        <v>98</v>
      </c>
      <c r="Z4" s="62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</row>
    <row r="5" spans="3:62" ht="20.25" customHeight="1" thickBot="1">
      <c r="C5" s="38"/>
      <c r="D5" s="39"/>
      <c r="E5" s="39"/>
      <c r="F5" s="39"/>
      <c r="G5" s="40"/>
      <c r="H5" s="40"/>
      <c r="I5" s="40"/>
      <c r="J5" s="40"/>
      <c r="K5" s="38"/>
      <c r="L5" s="38"/>
      <c r="M5" s="38"/>
      <c r="N5" s="39"/>
      <c r="O5" s="39"/>
      <c r="P5" s="40"/>
      <c r="Q5" s="40"/>
      <c r="R5" s="37"/>
      <c r="S5" s="37"/>
      <c r="T5" s="37"/>
      <c r="V5" s="97"/>
      <c r="X5" s="13" t="s">
        <v>70</v>
      </c>
      <c r="Y5" s="83">
        <f>Y3/Y4</f>
        <v>6.6428571428571432</v>
      </c>
      <c r="Z5" s="83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</row>
    <row r="6" spans="3:62" ht="20.25" customHeight="1" thickTop="1">
      <c r="C6" s="42" t="s">
        <v>91</v>
      </c>
      <c r="D6" s="421" t="s">
        <v>224</v>
      </c>
      <c r="E6" s="422"/>
      <c r="F6" s="422"/>
      <c r="G6" s="422"/>
      <c r="H6" s="422"/>
      <c r="I6" s="422"/>
      <c r="J6" s="423"/>
      <c r="K6" s="424" t="s">
        <v>22</v>
      </c>
      <c r="L6" s="136"/>
      <c r="M6" s="42" t="s">
        <v>223</v>
      </c>
      <c r="N6" s="421" t="s">
        <v>222</v>
      </c>
      <c r="O6" s="422"/>
      <c r="P6" s="422"/>
      <c r="Q6" s="422"/>
      <c r="R6" s="397"/>
      <c r="S6" s="424" t="s">
        <v>22</v>
      </c>
      <c r="U6" s="443" t="s">
        <v>105</v>
      </c>
      <c r="V6" s="97"/>
      <c r="X6" s="82" t="s">
        <v>72</v>
      </c>
      <c r="Y6" s="84">
        <f>Q35</f>
        <v>1515.7971278863017</v>
      </c>
      <c r="Z6" s="85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3:62" ht="20.25" customHeight="1" thickBot="1">
      <c r="C7" s="60"/>
      <c r="D7" s="60"/>
      <c r="E7" s="43" t="s">
        <v>23</v>
      </c>
      <c r="F7" s="405" t="s">
        <v>82</v>
      </c>
      <c r="G7" s="551"/>
      <c r="H7" s="233"/>
      <c r="I7" s="426" t="s">
        <v>24</v>
      </c>
      <c r="J7" s="426"/>
      <c r="K7" s="425"/>
      <c r="L7" s="135"/>
      <c r="M7" s="60">
        <v>44729</v>
      </c>
      <c r="N7" s="60">
        <v>44826</v>
      </c>
      <c r="O7" s="43" t="s">
        <v>23</v>
      </c>
      <c r="P7" s="405" t="s">
        <v>83</v>
      </c>
      <c r="Q7" s="121" t="s">
        <v>24</v>
      </c>
      <c r="R7" s="398"/>
      <c r="S7" s="425"/>
      <c r="U7" s="444"/>
      <c r="V7" s="97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</row>
    <row r="8" spans="3:62" ht="20.25" customHeight="1" thickTop="1" thickBot="1">
      <c r="C8" s="229"/>
      <c r="D8" s="230"/>
      <c r="E8" s="46">
        <f>D8-C8</f>
        <v>0</v>
      </c>
      <c r="F8" s="406"/>
      <c r="G8" s="552"/>
      <c r="H8" s="137"/>
      <c r="I8" s="427">
        <f>D7-C7</f>
        <v>0</v>
      </c>
      <c r="J8" s="428"/>
      <c r="K8" s="231">
        <f>I8*208.22/1000</f>
        <v>0</v>
      </c>
      <c r="L8" s="231"/>
      <c r="M8" s="229">
        <v>12720</v>
      </c>
      <c r="N8" s="230">
        <v>13371</v>
      </c>
      <c r="O8" s="46">
        <f>N8-M8</f>
        <v>651</v>
      </c>
      <c r="P8" s="406"/>
      <c r="Q8" s="232">
        <f>N7-M7+1</f>
        <v>98</v>
      </c>
      <c r="R8" s="398"/>
      <c r="S8" s="47">
        <f>Q8*208.22/1000</f>
        <v>20.405560000000001</v>
      </c>
      <c r="U8" s="445"/>
      <c r="V8" s="70"/>
      <c r="W8" s="73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</row>
    <row r="9" spans="3:62" ht="20.25" customHeight="1" thickTop="1">
      <c r="C9" s="549" t="s">
        <v>29</v>
      </c>
      <c r="D9" s="458" t="s">
        <v>30</v>
      </c>
      <c r="E9" s="433" t="s">
        <v>25</v>
      </c>
      <c r="F9" s="407" t="s">
        <v>144</v>
      </c>
      <c r="G9" s="408"/>
      <c r="H9" s="138"/>
      <c r="I9" s="437" t="s">
        <v>26</v>
      </c>
      <c r="J9" s="468"/>
      <c r="K9" s="41"/>
      <c r="L9" s="41"/>
      <c r="M9" s="456" t="s">
        <v>29</v>
      </c>
      <c r="N9" s="458" t="s">
        <v>30</v>
      </c>
      <c r="O9" s="433" t="s">
        <v>25</v>
      </c>
      <c r="P9" s="435" t="s">
        <v>144</v>
      </c>
      <c r="Q9" s="437" t="s">
        <v>26</v>
      </c>
      <c r="R9" s="398"/>
      <c r="S9" s="439" t="s">
        <v>27</v>
      </c>
      <c r="U9" s="400">
        <v>24</v>
      </c>
      <c r="V9" s="97"/>
      <c r="W9" s="73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</row>
    <row r="10" spans="3:62" ht="20.25" customHeight="1" thickBot="1">
      <c r="C10" s="550"/>
      <c r="D10" s="459"/>
      <c r="E10" s="434"/>
      <c r="F10" s="409"/>
      <c r="G10" s="410"/>
      <c r="H10" s="139"/>
      <c r="I10" s="438"/>
      <c r="J10" s="469"/>
      <c r="K10" s="41"/>
      <c r="L10" s="41"/>
      <c r="M10" s="457"/>
      <c r="N10" s="459"/>
      <c r="O10" s="434"/>
      <c r="P10" s="436"/>
      <c r="Q10" s="438"/>
      <c r="R10" s="399"/>
      <c r="S10" s="439"/>
      <c r="U10" s="401"/>
      <c r="V10" s="97"/>
      <c r="W10" s="73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</row>
    <row r="11" spans="3:62" ht="20.25" customHeight="1" thickTop="1" thickBot="1">
      <c r="C11" s="49" t="s">
        <v>17</v>
      </c>
      <c r="D11" s="50" t="s">
        <v>112</v>
      </c>
      <c r="E11" s="75">
        <f>BI38</f>
        <v>0</v>
      </c>
      <c r="F11" s="300">
        <v>0.70864199999999999</v>
      </c>
      <c r="G11" s="301"/>
      <c r="H11" s="268">
        <f>F11*E11</f>
        <v>0</v>
      </c>
      <c r="I11" s="269"/>
      <c r="J11" s="270"/>
      <c r="K11" s="98"/>
      <c r="L11" s="98"/>
      <c r="M11" s="49" t="s">
        <v>17</v>
      </c>
      <c r="N11" s="50" t="s">
        <v>112</v>
      </c>
      <c r="O11" s="75">
        <f>N112</f>
        <v>386.63013698630135</v>
      </c>
      <c r="P11" s="51">
        <v>0.70864199999999999</v>
      </c>
      <c r="Q11" s="119">
        <f>P11*O11</f>
        <v>273.98235353424656</v>
      </c>
      <c r="R11" s="402" t="s">
        <v>31</v>
      </c>
      <c r="S11" s="440"/>
      <c r="U11" s="441" t="s">
        <v>28</v>
      </c>
      <c r="V11" s="37"/>
      <c r="W11" s="73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</row>
    <row r="12" spans="3:62" ht="20.25" customHeight="1" thickTop="1">
      <c r="C12" s="107" t="s">
        <v>32</v>
      </c>
      <c r="D12" s="50" t="s">
        <v>113</v>
      </c>
      <c r="E12" s="76">
        <f>BI40</f>
        <v>0</v>
      </c>
      <c r="F12" s="302">
        <v>0.88580199999999998</v>
      </c>
      <c r="G12" s="301"/>
      <c r="H12" s="268">
        <f>F12*E12</f>
        <v>0</v>
      </c>
      <c r="I12" s="269"/>
      <c r="J12" s="270"/>
      <c r="K12" s="99"/>
      <c r="L12" s="99"/>
      <c r="M12" s="107" t="s">
        <v>32</v>
      </c>
      <c r="N12" s="50" t="s">
        <v>113</v>
      </c>
      <c r="O12" s="76">
        <f>N113</f>
        <v>193.31506849315068</v>
      </c>
      <c r="P12" s="51">
        <v>0.88580199999999998</v>
      </c>
      <c r="Q12" s="119">
        <f>P12*O12</f>
        <v>171.23887430136986</v>
      </c>
      <c r="R12" s="403"/>
      <c r="S12" s="429">
        <f>Q35-Q39</f>
        <v>-95.340727670330807</v>
      </c>
      <c r="U12" s="442"/>
      <c r="V12" s="100"/>
      <c r="W12" s="73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</row>
    <row r="13" spans="3:62" ht="20.25" customHeight="1" thickBot="1">
      <c r="C13" s="107" t="s">
        <v>33</v>
      </c>
      <c r="D13" s="50" t="s">
        <v>114</v>
      </c>
      <c r="E13" s="75">
        <v>0</v>
      </c>
      <c r="F13" s="300">
        <v>1.545728</v>
      </c>
      <c r="G13" s="301"/>
      <c r="H13" s="268">
        <f>F13*E13</f>
        <v>0</v>
      </c>
      <c r="I13" s="269"/>
      <c r="J13" s="270"/>
      <c r="K13" s="99"/>
      <c r="L13" s="99"/>
      <c r="M13" s="107" t="s">
        <v>33</v>
      </c>
      <c r="N13" s="50" t="s">
        <v>114</v>
      </c>
      <c r="O13" s="75">
        <f>N114</f>
        <v>71.054794520547972</v>
      </c>
      <c r="P13" s="51">
        <v>1.545728</v>
      </c>
      <c r="Q13" s="119">
        <f>P13*O13</f>
        <v>109.83138542465757</v>
      </c>
      <c r="R13" s="403"/>
      <c r="S13" s="430"/>
      <c r="U13" s="37"/>
      <c r="V13" s="100"/>
      <c r="W13" s="73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</row>
    <row r="14" spans="3:62" ht="20.25" customHeight="1" thickTop="1">
      <c r="C14" s="107" t="s">
        <v>34</v>
      </c>
      <c r="D14" s="50" t="s">
        <v>115</v>
      </c>
      <c r="E14" s="75">
        <v>0</v>
      </c>
      <c r="F14" s="300">
        <v>2.1812290000000001</v>
      </c>
      <c r="G14" s="301"/>
      <c r="H14" s="268">
        <f>F14*E14</f>
        <v>0</v>
      </c>
      <c r="I14" s="269"/>
      <c r="J14" s="270"/>
      <c r="K14" s="99"/>
      <c r="L14" s="99"/>
      <c r="M14" s="107" t="s">
        <v>34</v>
      </c>
      <c r="N14" s="50" t="s">
        <v>115</v>
      </c>
      <c r="O14" s="75">
        <f>BI13</f>
        <v>0</v>
      </c>
      <c r="P14" s="51">
        <v>2.1812290000000001</v>
      </c>
      <c r="Q14" s="119">
        <f>P14*O14</f>
        <v>0</v>
      </c>
      <c r="R14" s="403"/>
      <c r="S14" s="474" t="s">
        <v>35</v>
      </c>
      <c r="U14" s="431">
        <f>O8/Q8</f>
        <v>6.6428571428571432</v>
      </c>
      <c r="V14" s="71"/>
      <c r="W14" s="73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</row>
    <row r="15" spans="3:62" ht="20.25" customHeight="1" thickBot="1">
      <c r="C15" s="107" t="s">
        <v>36</v>
      </c>
      <c r="D15" s="50" t="s">
        <v>116</v>
      </c>
      <c r="E15" s="77"/>
      <c r="F15" s="302">
        <v>2.8701639999999999</v>
      </c>
      <c r="G15" s="301"/>
      <c r="H15" s="268">
        <f>F15*E15</f>
        <v>0</v>
      </c>
      <c r="I15" s="269"/>
      <c r="J15" s="270"/>
      <c r="K15" s="99"/>
      <c r="L15" s="99"/>
      <c r="M15" s="107" t="s">
        <v>36</v>
      </c>
      <c r="N15" s="50" t="s">
        <v>116</v>
      </c>
      <c r="O15" s="77"/>
      <c r="P15" s="51">
        <v>2.8701639999999999</v>
      </c>
      <c r="Q15" s="119">
        <f>P15*O15</f>
        <v>0</v>
      </c>
      <c r="R15" s="403"/>
      <c r="S15" s="475"/>
      <c r="U15" s="432"/>
      <c r="V15" s="70"/>
      <c r="W15" s="73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</row>
    <row r="16" spans="3:62" ht="20.25" customHeight="1" thickTop="1">
      <c r="C16" s="446" t="s">
        <v>84</v>
      </c>
      <c r="D16" s="447"/>
      <c r="E16" s="112">
        <f>$I$8</f>
        <v>0</v>
      </c>
      <c r="F16" s="300">
        <v>6.7752999999999994E-2</v>
      </c>
      <c r="G16" s="301"/>
      <c r="H16" s="268">
        <f>F16*E16*$U$9</f>
        <v>0</v>
      </c>
      <c r="I16" s="269"/>
      <c r="J16" s="270"/>
      <c r="K16" s="99"/>
      <c r="L16" s="99"/>
      <c r="M16" s="446" t="s">
        <v>84</v>
      </c>
      <c r="N16" s="447"/>
      <c r="O16" s="112">
        <f>$Q$8</f>
        <v>98</v>
      </c>
      <c r="P16" s="51">
        <v>6.7752999999999994E-2</v>
      </c>
      <c r="Q16" s="119">
        <f>P16*O16*$U$9</f>
        <v>159.35505599999999</v>
      </c>
      <c r="R16" s="404"/>
      <c r="S16" s="448">
        <v>23.13</v>
      </c>
      <c r="T16" s="40"/>
      <c r="U16" s="70"/>
      <c r="V16" s="70"/>
      <c r="W16" s="73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</row>
    <row r="17" spans="3:62" ht="20.25" customHeight="1" thickBot="1">
      <c r="C17" s="376" t="s">
        <v>85</v>
      </c>
      <c r="D17" s="377"/>
      <c r="E17" s="112">
        <f t="shared" ref="E17:E18" si="0">$I$8</f>
        <v>0</v>
      </c>
      <c r="F17" s="300">
        <v>1.2822E-2</v>
      </c>
      <c r="G17" s="301"/>
      <c r="H17" s="293">
        <f>F17*E17*$U$9</f>
        <v>0</v>
      </c>
      <c r="I17" s="294"/>
      <c r="J17" s="295"/>
      <c r="K17" s="101"/>
      <c r="L17" s="101"/>
      <c r="M17" s="376" t="s">
        <v>85</v>
      </c>
      <c r="N17" s="377"/>
      <c r="O17" s="112">
        <f>$Q$8</f>
        <v>98</v>
      </c>
      <c r="P17" s="51">
        <v>1.2822E-2</v>
      </c>
      <c r="Q17" s="120">
        <f>P17*O17*$U$9</f>
        <v>30.157344000000002</v>
      </c>
      <c r="R17" s="471" t="s">
        <v>37</v>
      </c>
      <c r="S17" s="449"/>
      <c r="T17" s="40"/>
      <c r="U17" s="70"/>
      <c r="V17" s="70"/>
      <c r="W17" s="73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</row>
    <row r="18" spans="3:62" ht="20.25" customHeight="1" thickTop="1">
      <c r="C18" s="376" t="s">
        <v>86</v>
      </c>
      <c r="D18" s="377"/>
      <c r="E18" s="112">
        <f t="shared" si="0"/>
        <v>0</v>
      </c>
      <c r="F18" s="300">
        <v>3.6903999999999999E-2</v>
      </c>
      <c r="G18" s="301"/>
      <c r="H18" s="293">
        <f>F18*E18*$U$9</f>
        <v>0</v>
      </c>
      <c r="I18" s="294"/>
      <c r="J18" s="295"/>
      <c r="K18" s="102"/>
      <c r="L18" s="102"/>
      <c r="M18" s="376" t="s">
        <v>86</v>
      </c>
      <c r="N18" s="377"/>
      <c r="O18" s="112">
        <f>$Q$8</f>
        <v>98</v>
      </c>
      <c r="P18" s="51">
        <v>3.6903999999999999E-2</v>
      </c>
      <c r="Q18" s="120">
        <f>P18*O18*$U$9</f>
        <v>86.798207999999988</v>
      </c>
      <c r="R18" s="472"/>
      <c r="S18" s="425" t="s">
        <v>38</v>
      </c>
      <c r="T18" s="40"/>
      <c r="U18" s="70"/>
      <c r="V18" s="70"/>
      <c r="W18" s="73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</row>
    <row r="19" spans="3:62" ht="20.25" customHeight="1" thickBot="1">
      <c r="C19" s="376" t="s">
        <v>39</v>
      </c>
      <c r="D19" s="377"/>
      <c r="E19" s="74">
        <f>$E$8</f>
        <v>0</v>
      </c>
      <c r="F19" s="300">
        <v>0.20144100000000001</v>
      </c>
      <c r="G19" s="301"/>
      <c r="H19" s="293">
        <f>F19*E19</f>
        <v>0</v>
      </c>
      <c r="I19" s="294"/>
      <c r="J19" s="295"/>
      <c r="K19" s="102"/>
      <c r="L19" s="102"/>
      <c r="M19" s="376" t="s">
        <v>39</v>
      </c>
      <c r="N19" s="377"/>
      <c r="O19" s="74">
        <f>$O$8</f>
        <v>651</v>
      </c>
      <c r="P19" s="51">
        <v>0.20144100000000001</v>
      </c>
      <c r="Q19" s="120">
        <f>P19*O19</f>
        <v>131.138091</v>
      </c>
      <c r="R19" s="472"/>
      <c r="S19" s="470"/>
      <c r="T19" s="45"/>
      <c r="U19" s="70"/>
      <c r="V19" s="70"/>
      <c r="W19" s="73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</row>
    <row r="20" spans="3:62" ht="20.25" customHeight="1" thickTop="1">
      <c r="C20" s="291" t="s">
        <v>40</v>
      </c>
      <c r="D20" s="292"/>
      <c r="E20" s="74">
        <f t="shared" ref="E20:E32" si="1">$E$8</f>
        <v>0</v>
      </c>
      <c r="F20" s="300">
        <v>0.58150400000000002</v>
      </c>
      <c r="G20" s="301"/>
      <c r="H20" s="293">
        <f>F20*E20</f>
        <v>0</v>
      </c>
      <c r="I20" s="294"/>
      <c r="J20" s="295"/>
      <c r="K20" s="102"/>
      <c r="L20" s="102"/>
      <c r="M20" s="291" t="s">
        <v>40</v>
      </c>
      <c r="N20" s="292"/>
      <c r="O20" s="74">
        <f t="shared" ref="O20:O32" si="2">$O$8</f>
        <v>651</v>
      </c>
      <c r="P20" s="51">
        <v>0.58150400000000002</v>
      </c>
      <c r="Q20" s="120">
        <f>P20*O20</f>
        <v>378.55910399999999</v>
      </c>
      <c r="R20" s="473"/>
      <c r="S20" s="391">
        <v>52.25</v>
      </c>
      <c r="T20" s="45"/>
      <c r="U20" s="70"/>
      <c r="V20" s="70"/>
      <c r="W20" s="73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</row>
    <row r="21" spans="3:62" ht="20.25" customHeight="1" thickBot="1">
      <c r="C21" s="386" t="s">
        <v>41</v>
      </c>
      <c r="D21" s="386"/>
      <c r="E21" s="74">
        <f t="shared" si="1"/>
        <v>0</v>
      </c>
      <c r="F21" s="300">
        <v>4.0000000000000001E-3</v>
      </c>
      <c r="G21" s="301"/>
      <c r="H21" s="268">
        <f>F21*E21</f>
        <v>0</v>
      </c>
      <c r="I21" s="269"/>
      <c r="J21" s="270"/>
      <c r="K21" s="102"/>
      <c r="L21" s="102"/>
      <c r="M21" s="386" t="s">
        <v>41</v>
      </c>
      <c r="N21" s="386"/>
      <c r="O21" s="74">
        <f t="shared" si="2"/>
        <v>651</v>
      </c>
      <c r="P21" s="51">
        <v>4.0000000000000001E-3</v>
      </c>
      <c r="Q21" s="119">
        <f>P21*O21</f>
        <v>2.6040000000000001</v>
      </c>
      <c r="R21" s="44"/>
      <c r="S21" s="392"/>
      <c r="T21" s="37"/>
      <c r="U21" s="70"/>
      <c r="V21" s="70"/>
      <c r="W21" s="73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</row>
    <row r="22" spans="3:62" ht="20.25" customHeight="1" thickTop="1">
      <c r="C22" s="386" t="s">
        <v>42</v>
      </c>
      <c r="D22" s="386"/>
      <c r="E22" s="74">
        <f t="shared" si="1"/>
        <v>0</v>
      </c>
      <c r="F22" s="300">
        <v>4.0000000000000001E-3</v>
      </c>
      <c r="G22" s="301"/>
      <c r="H22" s="293">
        <f>F22*E22</f>
        <v>0</v>
      </c>
      <c r="I22" s="294"/>
      <c r="J22" s="295"/>
      <c r="K22" s="102"/>
      <c r="L22" s="102"/>
      <c r="M22" s="386" t="s">
        <v>42</v>
      </c>
      <c r="N22" s="386"/>
      <c r="O22" s="74">
        <f t="shared" si="2"/>
        <v>651</v>
      </c>
      <c r="P22" s="51">
        <v>4.0000000000000001E-3</v>
      </c>
      <c r="Q22" s="120">
        <f>P22*O22</f>
        <v>2.6040000000000001</v>
      </c>
      <c r="R22" s="44"/>
      <c r="S22" s="52"/>
      <c r="T22" s="45"/>
      <c r="U22" s="70"/>
      <c r="V22" s="70"/>
      <c r="W22" s="73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</row>
    <row r="23" spans="3:62" ht="20.25" customHeight="1">
      <c r="C23" s="386" t="s">
        <v>43</v>
      </c>
      <c r="D23" s="386"/>
      <c r="E23" s="74">
        <f t="shared" si="1"/>
        <v>0</v>
      </c>
      <c r="F23" s="300">
        <v>4.0000000000000001E-3</v>
      </c>
      <c r="G23" s="301"/>
      <c r="H23" s="293">
        <f>$E$23*$F$23</f>
        <v>0</v>
      </c>
      <c r="I23" s="294"/>
      <c r="J23" s="295"/>
      <c r="K23" s="102"/>
      <c r="L23" s="102"/>
      <c r="M23" s="386" t="s">
        <v>43</v>
      </c>
      <c r="N23" s="386"/>
      <c r="O23" s="74">
        <f t="shared" si="2"/>
        <v>651</v>
      </c>
      <c r="P23" s="51">
        <v>4.0000000000000001E-3</v>
      </c>
      <c r="Q23" s="120">
        <f>$P$23*$O$23</f>
        <v>2.6040000000000001</v>
      </c>
      <c r="R23" s="44"/>
      <c r="S23" s="52"/>
      <c r="T23" s="45"/>
      <c r="U23" s="70"/>
      <c r="V23" s="70"/>
      <c r="W23" s="73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</row>
    <row r="24" spans="3:62" ht="20.25" customHeight="1">
      <c r="C24" s="386" t="s">
        <v>44</v>
      </c>
      <c r="D24" s="386"/>
      <c r="E24" s="74">
        <f t="shared" si="1"/>
        <v>0</v>
      </c>
      <c r="F24" s="300">
        <v>8.9999999999999993E-3</v>
      </c>
      <c r="G24" s="301"/>
      <c r="H24" s="268">
        <f>$E$24*$F$24</f>
        <v>0</v>
      </c>
      <c r="I24" s="269"/>
      <c r="J24" s="270"/>
      <c r="K24" s="102"/>
      <c r="L24" s="102"/>
      <c r="M24" s="386" t="s">
        <v>44</v>
      </c>
      <c r="N24" s="386"/>
      <c r="O24" s="74">
        <f t="shared" si="2"/>
        <v>651</v>
      </c>
      <c r="P24" s="51">
        <v>8.9999999999999993E-3</v>
      </c>
      <c r="Q24" s="119">
        <f>$P$24*$O$24</f>
        <v>5.859</v>
      </c>
      <c r="R24" s="48"/>
      <c r="S24" s="53"/>
      <c r="T24" s="45"/>
      <c r="U24" s="70"/>
      <c r="V24" s="70"/>
      <c r="W24" s="73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</row>
    <row r="25" spans="3:62" ht="20.25" customHeight="1">
      <c r="C25" s="291" t="s">
        <v>45</v>
      </c>
      <c r="D25" s="292"/>
      <c r="E25" s="74">
        <f t="shared" si="1"/>
        <v>0</v>
      </c>
      <c r="F25" s="300">
        <v>8.9999999999999993E-3</v>
      </c>
      <c r="G25" s="301"/>
      <c r="H25" s="293">
        <f>$E$25*$F$25</f>
        <v>0</v>
      </c>
      <c r="I25" s="294"/>
      <c r="J25" s="295"/>
      <c r="K25" s="102"/>
      <c r="L25" s="102"/>
      <c r="M25" s="291" t="s">
        <v>45</v>
      </c>
      <c r="N25" s="292"/>
      <c r="O25" s="74">
        <f t="shared" si="2"/>
        <v>651</v>
      </c>
      <c r="P25" s="51">
        <v>8.9999999999999993E-3</v>
      </c>
      <c r="Q25" s="120">
        <f>$P$25*$O$25</f>
        <v>5.859</v>
      </c>
      <c r="R25" s="48"/>
      <c r="S25" s="53"/>
      <c r="T25" s="45"/>
      <c r="U25" s="72"/>
      <c r="V25" s="72"/>
      <c r="W25" s="73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</row>
    <row r="26" spans="3:62" ht="20.25" customHeight="1">
      <c r="C26" s="376" t="s">
        <v>46</v>
      </c>
      <c r="D26" s="377"/>
      <c r="E26" s="74">
        <f t="shared" si="1"/>
        <v>0</v>
      </c>
      <c r="F26" s="300">
        <v>8.9999999999999993E-3</v>
      </c>
      <c r="G26" s="301"/>
      <c r="H26" s="293">
        <f>$E$26*$F$26</f>
        <v>0</v>
      </c>
      <c r="I26" s="294"/>
      <c r="J26" s="295"/>
      <c r="K26" s="102"/>
      <c r="L26" s="102"/>
      <c r="M26" s="376" t="s">
        <v>46</v>
      </c>
      <c r="N26" s="377"/>
      <c r="O26" s="74">
        <f t="shared" si="2"/>
        <v>651</v>
      </c>
      <c r="P26" s="51">
        <v>8.9999999999999993E-3</v>
      </c>
      <c r="Q26" s="120">
        <f>$P$26*$O$26</f>
        <v>5.859</v>
      </c>
      <c r="R26" s="48"/>
      <c r="S26" s="53"/>
      <c r="T26" s="45"/>
      <c r="U26" s="72"/>
      <c r="V26" s="72"/>
      <c r="W26" s="73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</row>
    <row r="27" spans="3:62" ht="20.25" customHeight="1">
      <c r="C27" s="376" t="s">
        <v>47</v>
      </c>
      <c r="D27" s="377"/>
      <c r="E27" s="74">
        <f t="shared" si="1"/>
        <v>0</v>
      </c>
      <c r="F27" s="300">
        <v>1.7899999999999999E-2</v>
      </c>
      <c r="G27" s="301"/>
      <c r="H27" s="293">
        <f>$E$27*$F$27</f>
        <v>0</v>
      </c>
      <c r="I27" s="294"/>
      <c r="J27" s="295"/>
      <c r="K27" s="102"/>
      <c r="L27" s="102"/>
      <c r="M27" s="376" t="s">
        <v>47</v>
      </c>
      <c r="N27" s="377"/>
      <c r="O27" s="74">
        <f t="shared" si="2"/>
        <v>651</v>
      </c>
      <c r="P27" s="51">
        <v>1.7899999999999999E-2</v>
      </c>
      <c r="Q27" s="120">
        <f>$P$27*$O$27</f>
        <v>11.652899999999999</v>
      </c>
      <c r="R27" s="48"/>
      <c r="S27" s="53"/>
      <c r="T27" s="45"/>
      <c r="U27" s="72"/>
      <c r="V27" s="72"/>
      <c r="W27" s="73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</row>
    <row r="28" spans="3:62" ht="20.25" customHeight="1">
      <c r="C28" s="376" t="s">
        <v>48</v>
      </c>
      <c r="D28" s="377"/>
      <c r="E28" s="74">
        <f t="shared" si="1"/>
        <v>0</v>
      </c>
      <c r="F28" s="300">
        <v>1.7899999999999999E-2</v>
      </c>
      <c r="G28" s="301"/>
      <c r="H28" s="268">
        <f>$E$28*$F$28</f>
        <v>0</v>
      </c>
      <c r="I28" s="269"/>
      <c r="J28" s="270"/>
      <c r="K28" s="102"/>
      <c r="L28" s="102"/>
      <c r="M28" s="376" t="s">
        <v>48</v>
      </c>
      <c r="N28" s="377"/>
      <c r="O28" s="74">
        <f t="shared" si="2"/>
        <v>651</v>
      </c>
      <c r="P28" s="51">
        <v>1.7899999999999999E-2</v>
      </c>
      <c r="Q28" s="119">
        <f>$P$28*$O$28</f>
        <v>11.652899999999999</v>
      </c>
      <c r="R28" s="48"/>
      <c r="S28" s="53"/>
      <c r="T28" s="45"/>
      <c r="U28" s="72"/>
      <c r="V28" s="72"/>
      <c r="W28" s="73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</row>
    <row r="29" spans="3:62" ht="20.25" customHeight="1">
      <c r="C29" s="376" t="s">
        <v>67</v>
      </c>
      <c r="D29" s="377"/>
      <c r="E29" s="74">
        <f t="shared" si="1"/>
        <v>0</v>
      </c>
      <c r="F29" s="300">
        <v>1.7899999999999999E-2</v>
      </c>
      <c r="G29" s="301"/>
      <c r="H29" s="293">
        <f>$E$29*$F$29</f>
        <v>0</v>
      </c>
      <c r="I29" s="294"/>
      <c r="J29" s="295"/>
      <c r="K29" s="378" t="s">
        <v>78</v>
      </c>
      <c r="L29" s="144"/>
      <c r="M29" s="376" t="s">
        <v>67</v>
      </c>
      <c r="N29" s="377"/>
      <c r="O29" s="74">
        <f t="shared" si="2"/>
        <v>651</v>
      </c>
      <c r="P29" s="51">
        <v>1.7899999999999999E-2</v>
      </c>
      <c r="Q29" s="120">
        <f>$P$29*$O$29</f>
        <v>11.652899999999999</v>
      </c>
      <c r="R29" s="381" t="s">
        <v>78</v>
      </c>
      <c r="S29" s="53"/>
      <c r="T29" s="45"/>
      <c r="U29" s="72"/>
      <c r="V29" s="72"/>
      <c r="W29" s="73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</row>
    <row r="30" spans="3:62" ht="20.25" customHeight="1">
      <c r="C30" s="291" t="s">
        <v>49</v>
      </c>
      <c r="D30" s="292"/>
      <c r="E30" s="74">
        <f t="shared" si="1"/>
        <v>0</v>
      </c>
      <c r="F30" s="300">
        <v>4.0000000000000001E-3</v>
      </c>
      <c r="G30" s="301"/>
      <c r="H30" s="293">
        <f>$E$30*$F$30</f>
        <v>0</v>
      </c>
      <c r="I30" s="294"/>
      <c r="J30" s="295"/>
      <c r="K30" s="379"/>
      <c r="L30" s="145"/>
      <c r="M30" s="291" t="s">
        <v>49</v>
      </c>
      <c r="N30" s="292"/>
      <c r="O30" s="74">
        <f t="shared" si="2"/>
        <v>651</v>
      </c>
      <c r="P30" s="51">
        <v>4.0000000000000001E-3</v>
      </c>
      <c r="Q30" s="120">
        <f>$P$30*$O$30</f>
        <v>2.6040000000000001</v>
      </c>
      <c r="R30" s="382"/>
      <c r="S30" s="53"/>
      <c r="T30" s="45"/>
      <c r="U30" s="72"/>
      <c r="V30" s="72"/>
      <c r="W30" s="73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</row>
    <row r="31" spans="3:62" ht="20.25" customHeight="1">
      <c r="C31" s="291" t="s">
        <v>50</v>
      </c>
      <c r="D31" s="292"/>
      <c r="E31" s="74">
        <f t="shared" si="1"/>
        <v>0</v>
      </c>
      <c r="F31" s="300">
        <v>4.0000000000000001E-3</v>
      </c>
      <c r="G31" s="301"/>
      <c r="H31" s="293">
        <f>$E$31*$F$31</f>
        <v>0</v>
      </c>
      <c r="I31" s="294"/>
      <c r="J31" s="295"/>
      <c r="K31" s="380"/>
      <c r="L31" s="146"/>
      <c r="M31" s="291" t="s">
        <v>50</v>
      </c>
      <c r="N31" s="292"/>
      <c r="O31" s="74">
        <f t="shared" si="2"/>
        <v>651</v>
      </c>
      <c r="P31" s="51">
        <v>4.0000000000000001E-3</v>
      </c>
      <c r="Q31" s="120">
        <f>$P$31*$O$31</f>
        <v>2.6040000000000001</v>
      </c>
      <c r="R31" s="383"/>
      <c r="S31" s="53"/>
      <c r="T31" s="45"/>
      <c r="U31" s="72"/>
      <c r="V31" s="72"/>
      <c r="W31" s="73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</row>
    <row r="32" spans="3:62" ht="20.25" customHeight="1" thickBot="1">
      <c r="C32" s="291" t="s">
        <v>51</v>
      </c>
      <c r="D32" s="292"/>
      <c r="E32" s="74">
        <f t="shared" si="1"/>
        <v>0</v>
      </c>
      <c r="F32" s="300">
        <v>4.0000000000000001E-3</v>
      </c>
      <c r="G32" s="301"/>
      <c r="H32" s="268">
        <f>$E$32*$F$32</f>
        <v>0</v>
      </c>
      <c r="I32" s="269"/>
      <c r="J32" s="270"/>
      <c r="K32" s="103">
        <f>SUM(I21:J32)</f>
        <v>0</v>
      </c>
      <c r="L32" s="103"/>
      <c r="M32" s="291" t="s">
        <v>51</v>
      </c>
      <c r="N32" s="292"/>
      <c r="O32" s="74">
        <f t="shared" si="2"/>
        <v>651</v>
      </c>
      <c r="P32" s="51">
        <v>4.0000000000000001E-3</v>
      </c>
      <c r="Q32" s="119">
        <f>$P$32*$O$32</f>
        <v>2.6040000000000001</v>
      </c>
      <c r="R32" s="78">
        <f>SUM(Q21:Q32)</f>
        <v>68.159700000000001</v>
      </c>
      <c r="S32" s="53"/>
      <c r="T32" s="45"/>
      <c r="U32" s="72"/>
      <c r="V32" s="72"/>
      <c r="W32" s="73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</row>
    <row r="33" spans="2:62" ht="20.25" customHeight="1" thickTop="1" thickBot="1">
      <c r="C33" s="54"/>
      <c r="D33" s="55"/>
      <c r="E33" s="300" t="s">
        <v>88</v>
      </c>
      <c r="F33" s="302"/>
      <c r="G33" s="311"/>
      <c r="H33" s="325">
        <f>SUM(H11:J32)</f>
        <v>0</v>
      </c>
      <c r="I33" s="326"/>
      <c r="J33" s="327"/>
      <c r="K33" s="102"/>
      <c r="L33" s="102"/>
      <c r="M33" s="54"/>
      <c r="N33" s="55"/>
      <c r="O33" s="300" t="s">
        <v>88</v>
      </c>
      <c r="P33" s="311"/>
      <c r="Q33" s="117">
        <f>SUM(Q11:Q32)-$S$20+H33</f>
        <v>1356.9701162602742</v>
      </c>
      <c r="R33" s="56"/>
      <c r="S33" s="53"/>
      <c r="T33" s="45"/>
      <c r="U33" s="72"/>
      <c r="V33" s="72"/>
      <c r="W33" s="73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</row>
    <row r="34" spans="2:62" ht="20.25" customHeight="1" thickTop="1">
      <c r="C34" s="57"/>
      <c r="D34" s="58"/>
      <c r="E34" s="59"/>
      <c r="F34" s="59"/>
      <c r="G34" s="51" t="s">
        <v>68</v>
      </c>
      <c r="H34" s="322">
        <f>H33*10/100</f>
        <v>0</v>
      </c>
      <c r="I34" s="323"/>
      <c r="J34" s="324"/>
      <c r="K34" s="102"/>
      <c r="L34" s="102"/>
      <c r="M34" s="57"/>
      <c r="N34" s="58"/>
      <c r="O34" s="59"/>
      <c r="P34" s="51" t="s">
        <v>68</v>
      </c>
      <c r="Q34" s="118">
        <f>Q33*10/100+I34</f>
        <v>135.6970116260274</v>
      </c>
      <c r="R34" s="48"/>
      <c r="S34" s="37"/>
      <c r="T34" s="37"/>
      <c r="U34" s="37"/>
      <c r="V34" s="37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</row>
    <row r="35" spans="2:62" ht="20.25" customHeight="1">
      <c r="C35" s="303"/>
      <c r="D35" s="303"/>
      <c r="E35" s="305" t="s">
        <v>16</v>
      </c>
      <c r="F35" s="372"/>
      <c r="G35" s="306"/>
      <c r="H35" s="309">
        <f>SUM(H33+H34)</f>
        <v>0</v>
      </c>
      <c r="I35" s="318"/>
      <c r="J35" s="319"/>
      <c r="K35" s="102"/>
      <c r="L35" s="102"/>
      <c r="M35" s="303"/>
      <c r="N35" s="303"/>
      <c r="O35" s="305" t="s">
        <v>16</v>
      </c>
      <c r="P35" s="306"/>
      <c r="Q35" s="309">
        <f>SUM(Q33+Q34+S16)</f>
        <v>1515.7971278863017</v>
      </c>
      <c r="R35" s="48"/>
      <c r="S35" s="37"/>
      <c r="T35" s="37"/>
      <c r="U35" s="37"/>
      <c r="V35" s="37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</row>
    <row r="36" spans="2:62" ht="20.25" customHeight="1">
      <c r="C36" s="304"/>
      <c r="D36" s="304"/>
      <c r="E36" s="307"/>
      <c r="F36" s="373"/>
      <c r="G36" s="308"/>
      <c r="H36" s="310"/>
      <c r="I36" s="320"/>
      <c r="J36" s="321"/>
      <c r="K36" s="102"/>
      <c r="L36" s="102"/>
      <c r="M36" s="304"/>
      <c r="N36" s="304"/>
      <c r="O36" s="307"/>
      <c r="P36" s="308"/>
      <c r="Q36" s="310"/>
      <c r="R36" s="48"/>
      <c r="S36" s="37"/>
      <c r="T36" s="40"/>
      <c r="U36" s="40"/>
      <c r="V36" s="40"/>
      <c r="W36" s="73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</row>
    <row r="37" spans="2:62" ht="20.25" customHeight="1">
      <c r="C37" s="304"/>
      <c r="D37" s="304"/>
      <c r="E37" s="362"/>
      <c r="F37" s="363"/>
      <c r="G37" s="364"/>
      <c r="H37" s="140"/>
      <c r="I37" s="362"/>
      <c r="J37" s="364"/>
      <c r="K37" s="102"/>
      <c r="L37" s="102"/>
      <c r="M37" s="304"/>
      <c r="N37" s="304"/>
      <c r="O37" s="362" t="s">
        <v>52</v>
      </c>
      <c r="P37" s="364"/>
      <c r="Q37" s="370">
        <f>$Y$82</f>
        <v>1515.7971278863017</v>
      </c>
      <c r="R37" s="48"/>
      <c r="S37" s="37"/>
      <c r="T37" s="40"/>
      <c r="U37" s="40"/>
      <c r="V37" s="40"/>
      <c r="W37" s="73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</row>
    <row r="38" spans="2:62" ht="20.25" customHeight="1">
      <c r="C38" s="304"/>
      <c r="D38" s="304"/>
      <c r="E38" s="365"/>
      <c r="F38" s="366"/>
      <c r="G38" s="367"/>
      <c r="H38" s="141"/>
      <c r="I38" s="365"/>
      <c r="J38" s="367"/>
      <c r="K38" s="102"/>
      <c r="L38" s="102"/>
      <c r="M38" s="304"/>
      <c r="N38" s="304"/>
      <c r="O38" s="365"/>
      <c r="P38" s="367"/>
      <c r="Q38" s="371"/>
      <c r="R38" s="48"/>
      <c r="S38" s="37"/>
      <c r="T38" s="40"/>
      <c r="U38" s="40"/>
      <c r="V38" s="40"/>
      <c r="W38" s="73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</row>
    <row r="39" spans="2:62" ht="20.25" customHeight="1">
      <c r="C39" s="304"/>
      <c r="D39" s="304"/>
      <c r="E39" s="362"/>
      <c r="F39" s="363"/>
      <c r="G39" s="364"/>
      <c r="H39" s="140"/>
      <c r="I39" s="362"/>
      <c r="J39" s="364"/>
      <c r="K39" s="104"/>
      <c r="L39" s="104"/>
      <c r="M39" s="304"/>
      <c r="N39" s="304"/>
      <c r="O39" s="362" t="s">
        <v>53</v>
      </c>
      <c r="P39" s="364"/>
      <c r="Q39" s="368">
        <f>W82</f>
        <v>1611.1378555566325</v>
      </c>
      <c r="R39" s="48"/>
      <c r="S39" s="37"/>
      <c r="T39" s="37"/>
      <c r="U39" s="70"/>
      <c r="V39" s="70"/>
      <c r="W39" s="73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</row>
    <row r="40" spans="2:62" ht="20.25" customHeight="1">
      <c r="C40" s="37"/>
      <c r="D40" s="37"/>
      <c r="E40" s="365"/>
      <c r="F40" s="366"/>
      <c r="G40" s="367"/>
      <c r="H40" s="141"/>
      <c r="I40" s="365"/>
      <c r="J40" s="367"/>
      <c r="K40" s="104"/>
      <c r="L40" s="104"/>
      <c r="M40" s="37"/>
      <c r="N40" s="37"/>
      <c r="O40" s="365"/>
      <c r="P40" s="367"/>
      <c r="Q40" s="369"/>
      <c r="R40" s="48"/>
      <c r="S40" s="37"/>
      <c r="T40" s="37"/>
      <c r="U40" s="37"/>
      <c r="V40" s="37"/>
      <c r="W40" s="37"/>
      <c r="X40" s="37"/>
      <c r="Y40" s="37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</row>
    <row r="41" spans="2:62" customFormat="1" ht="20.25" customHeight="1" thickBot="1">
      <c r="B41" s="315">
        <f ca="1">NOW()</f>
        <v>44872.660271643515</v>
      </c>
      <c r="C41" s="315"/>
      <c r="S41" s="37"/>
      <c r="T41" s="37"/>
      <c r="U41" s="37"/>
      <c r="V41" s="37"/>
      <c r="W41" s="37"/>
      <c r="X41" s="37"/>
      <c r="Y41" s="37"/>
      <c r="Z41" s="11"/>
      <c r="AA41" s="11"/>
      <c r="AB41" s="11"/>
      <c r="AC41" s="11"/>
      <c r="AD41" s="11"/>
      <c r="AE41" s="11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</row>
    <row r="42" spans="2:62" ht="20.25" customHeight="1" thickBot="1">
      <c r="B42" s="315"/>
      <c r="C42" s="315"/>
      <c r="G42" s="312" t="s">
        <v>225</v>
      </c>
      <c r="H42" s="313"/>
      <c r="I42" s="313"/>
      <c r="J42" s="314"/>
      <c r="Q42" s="12"/>
      <c r="R42" s="12"/>
      <c r="S42" s="37"/>
      <c r="T42" s="37"/>
      <c r="U42" s="37"/>
      <c r="V42" s="37"/>
      <c r="W42" s="37"/>
      <c r="X42" s="37"/>
      <c r="Y42" s="37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</row>
    <row r="43" spans="2:62" ht="18" customHeight="1">
      <c r="G43" s="13" t="s">
        <v>0</v>
      </c>
      <c r="H43" s="13"/>
      <c r="J43" s="13" t="s">
        <v>1</v>
      </c>
      <c r="K43" s="13"/>
      <c r="L43" s="13"/>
      <c r="M43" s="109"/>
      <c r="Q43" s="13"/>
      <c r="S43" s="37"/>
      <c r="T43" s="37"/>
      <c r="U43" s="37"/>
      <c r="V43" s="37"/>
      <c r="W43" s="37"/>
      <c r="X43" s="37"/>
      <c r="Y43" s="37"/>
      <c r="AL43" s="10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</row>
    <row r="44" spans="2:62" ht="18" customHeight="1">
      <c r="C44" s="14" t="s">
        <v>2</v>
      </c>
      <c r="G44" s="15">
        <f>N7</f>
        <v>44826</v>
      </c>
      <c r="H44" s="142"/>
      <c r="I44" s="12"/>
      <c r="J44" s="16">
        <f>N8</f>
        <v>13371</v>
      </c>
      <c r="K44" s="31"/>
      <c r="L44" s="31"/>
      <c r="M44" s="14" t="s">
        <v>79</v>
      </c>
      <c r="N44" s="16">
        <f>COUNTA(Condomini)</f>
        <v>27</v>
      </c>
      <c r="S44" s="37"/>
      <c r="T44" s="37"/>
      <c r="U44" s="37"/>
      <c r="V44" s="37"/>
      <c r="W44" s="37"/>
      <c r="X44" s="37"/>
      <c r="Y44" s="37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</row>
    <row r="45" spans="2:62" ht="18" customHeight="1">
      <c r="C45" s="14" t="s">
        <v>3</v>
      </c>
      <c r="G45" s="15">
        <f>M7</f>
        <v>44729</v>
      </c>
      <c r="H45" s="142"/>
      <c r="I45" s="12"/>
      <c r="J45" s="95">
        <f>M8</f>
        <v>12720</v>
      </c>
      <c r="K45" s="31"/>
      <c r="L45" s="31"/>
      <c r="M45" s="13"/>
      <c r="N45" s="12"/>
      <c r="O45" s="12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</row>
    <row r="46" spans="2:62" ht="18" customHeight="1">
      <c r="C46" s="14" t="s">
        <v>4</v>
      </c>
      <c r="G46" s="30">
        <f>DataLettura-DataLetturaPrecedente+1</f>
        <v>98</v>
      </c>
      <c r="H46" s="142"/>
      <c r="I46" s="12"/>
      <c r="J46" s="30">
        <f>Lettura-LetturaPrecedente</f>
        <v>651</v>
      </c>
      <c r="K46" s="31"/>
      <c r="L46" s="31"/>
      <c r="M46" s="13"/>
      <c r="N46" s="12"/>
      <c r="O46" s="36"/>
      <c r="P46" s="36"/>
      <c r="R46" s="36"/>
      <c r="Y46" s="111"/>
      <c r="AF46" s="29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</row>
    <row r="47" spans="2:62" ht="26.25" customHeight="1" thickBot="1">
      <c r="C47" s="26" t="s">
        <v>14</v>
      </c>
      <c r="H47" s="296">
        <f>Q35</f>
        <v>1515.7971278863017</v>
      </c>
      <c r="I47" s="297"/>
      <c r="M47" s="92"/>
      <c r="N47" s="92"/>
      <c r="O47" s="91"/>
      <c r="P47" s="91"/>
      <c r="Q47" s="91"/>
      <c r="R47" s="92"/>
      <c r="S47" s="91"/>
      <c r="T47" s="91"/>
      <c r="U47" s="91"/>
      <c r="V47" s="91"/>
      <c r="Y47" s="73"/>
      <c r="AF47" s="29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</row>
    <row r="48" spans="2:62" ht="25.15" customHeight="1">
      <c r="B48" s="466" t="s">
        <v>146</v>
      </c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 t="s">
        <v>119</v>
      </c>
      <c r="U48" s="464"/>
      <c r="V48" s="464"/>
      <c r="W48" s="464"/>
      <c r="X48" s="460">
        <v>44686</v>
      </c>
      <c r="Y48" s="461"/>
      <c r="Z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</row>
    <row r="49" spans="2:62" ht="21" customHeight="1" thickBot="1">
      <c r="B49" s="467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2"/>
      <c r="Y49" s="463"/>
      <c r="Z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</row>
    <row r="50" spans="2:62" ht="94.5" customHeight="1" thickBot="1">
      <c r="B50" s="356"/>
      <c r="C50" s="357"/>
      <c r="D50" s="210">
        <f>DataLetturaPrecedente</f>
        <v>44729</v>
      </c>
      <c r="E50" s="210">
        <f>DataLettura</f>
        <v>44826</v>
      </c>
      <c r="F50" s="211" t="s">
        <v>120</v>
      </c>
      <c r="G50" s="212" t="s">
        <v>19</v>
      </c>
      <c r="H50" s="213" t="s">
        <v>145</v>
      </c>
      <c r="I50" s="214" t="s">
        <v>80</v>
      </c>
      <c r="J50" s="212" t="s">
        <v>81</v>
      </c>
      <c r="K50" s="212" t="s">
        <v>74</v>
      </c>
      <c r="L50" s="215" t="s">
        <v>121</v>
      </c>
      <c r="M50" s="216" t="s">
        <v>110</v>
      </c>
      <c r="N50" s="216" t="s">
        <v>18</v>
      </c>
      <c r="O50" s="216" t="s">
        <v>5</v>
      </c>
      <c r="P50" s="216" t="s">
        <v>6</v>
      </c>
      <c r="Q50" s="216" t="s">
        <v>7</v>
      </c>
      <c r="R50" s="217" t="s">
        <v>108</v>
      </c>
      <c r="S50" s="216" t="s">
        <v>8</v>
      </c>
      <c r="T50" s="218" t="s">
        <v>15</v>
      </c>
      <c r="U50" s="219" t="s">
        <v>13</v>
      </c>
      <c r="V50" s="220" t="s">
        <v>77</v>
      </c>
      <c r="W50" s="221" t="s">
        <v>111</v>
      </c>
      <c r="X50" s="222" t="s">
        <v>104</v>
      </c>
      <c r="Y50" s="223" t="s">
        <v>109</v>
      </c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</row>
    <row r="51" spans="2:62" ht="18" customHeight="1" thickBot="1">
      <c r="B51" s="483" t="s">
        <v>12</v>
      </c>
      <c r="C51" s="484"/>
      <c r="D51" s="17" t="s">
        <v>1</v>
      </c>
      <c r="E51" s="17" t="s">
        <v>1</v>
      </c>
      <c r="F51" s="126"/>
      <c r="G51" s="17" t="s">
        <v>1</v>
      </c>
      <c r="H51" s="143" t="s">
        <v>117</v>
      </c>
      <c r="I51" s="17" t="s">
        <v>1</v>
      </c>
      <c r="J51" s="86" t="s">
        <v>1</v>
      </c>
      <c r="K51" s="86" t="s">
        <v>75</v>
      </c>
      <c r="L51" s="86"/>
      <c r="M51" s="17" t="s">
        <v>1</v>
      </c>
      <c r="N51" s="17" t="s">
        <v>1</v>
      </c>
      <c r="O51" s="17" t="s">
        <v>1</v>
      </c>
      <c r="P51" s="17" t="s">
        <v>1</v>
      </c>
      <c r="Q51" s="17" t="s">
        <v>1</v>
      </c>
      <c r="R51" s="17" t="s">
        <v>75</v>
      </c>
      <c r="S51" s="17" t="s">
        <v>75</v>
      </c>
      <c r="T51" s="17" t="s">
        <v>75</v>
      </c>
      <c r="U51" s="17" t="s">
        <v>75</v>
      </c>
      <c r="V51" s="17"/>
      <c r="W51" s="17" t="s">
        <v>75</v>
      </c>
      <c r="X51" s="123" t="s">
        <v>76</v>
      </c>
      <c r="Y51" s="124" t="s">
        <v>75</v>
      </c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</row>
    <row r="52" spans="2:62" ht="18" customHeight="1" thickTop="1">
      <c r="B52" s="483"/>
      <c r="C52" s="484"/>
      <c r="D52" s="358" t="s">
        <v>89</v>
      </c>
      <c r="E52" s="359"/>
      <c r="F52" s="133"/>
      <c r="G52" s="18"/>
      <c r="H52" s="316">
        <v>3</v>
      </c>
      <c r="I52" s="128" t="s">
        <v>106</v>
      </c>
      <c r="J52" s="87"/>
      <c r="K52" s="87"/>
      <c r="L52" s="87"/>
      <c r="M52" s="114">
        <f>L102</f>
        <v>7.5295630136986302</v>
      </c>
      <c r="N52" s="114">
        <f>L103</f>
        <v>6.6449315068493151</v>
      </c>
      <c r="O52" s="114">
        <f>L104</f>
        <v>12.034931506849315</v>
      </c>
      <c r="P52" s="114">
        <f>L105</f>
        <v>8.0547945205479454</v>
      </c>
      <c r="Q52" s="32" t="s">
        <v>118</v>
      </c>
      <c r="R52" s="20"/>
      <c r="S52" s="19"/>
      <c r="T52" s="21"/>
      <c r="U52" s="27"/>
      <c r="V52" s="350">
        <f>$S$16</f>
        <v>23.13</v>
      </c>
      <c r="W52" s="352">
        <f>W82</f>
        <v>1611.1378555566325</v>
      </c>
      <c r="X52" s="28"/>
      <c r="Y52" s="354">
        <f>Y82</f>
        <v>1515.7971278863017</v>
      </c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</row>
    <row r="53" spans="2:62" ht="18" customHeight="1" thickBot="1">
      <c r="B53" s="485"/>
      <c r="C53" s="486"/>
      <c r="D53" s="360" t="s">
        <v>90</v>
      </c>
      <c r="E53" s="361"/>
      <c r="F53" s="134"/>
      <c r="G53" s="22"/>
      <c r="H53" s="317"/>
      <c r="I53" s="129" t="s">
        <v>107</v>
      </c>
      <c r="J53" s="88"/>
      <c r="K53" s="130">
        <f>TariffaAgevolata</f>
        <v>0.70864199999999999</v>
      </c>
      <c r="L53" s="130"/>
      <c r="M53" s="130">
        <f>TariffaAgevolata</f>
        <v>0.70864199999999999</v>
      </c>
      <c r="N53" s="130">
        <f>TariffaBase</f>
        <v>0.88580199999999998</v>
      </c>
      <c r="O53" s="130">
        <f>TariffaBaseMedia</f>
        <v>1.545728</v>
      </c>
      <c r="P53" s="130">
        <f>TariffaEccedenza</f>
        <v>2.1812290000000001</v>
      </c>
      <c r="Q53" s="130">
        <f>P$15</f>
        <v>2.8701639999999999</v>
      </c>
      <c r="R53" s="131">
        <f>F$21+F$22+F$23+F$24+F$25+F$26+F$27+F$28+F$29+F$30+F$31+F$32+F20+F19</f>
        <v>0.88764500000000002</v>
      </c>
      <c r="S53" s="132">
        <f>F$16+F$17+F$18</f>
        <v>0.117479</v>
      </c>
      <c r="T53" s="25"/>
      <c r="U53" s="25"/>
      <c r="V53" s="351"/>
      <c r="W53" s="353"/>
      <c r="X53" s="28"/>
      <c r="Y53" s="35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</row>
    <row r="54" spans="2:62" ht="45" customHeight="1" thickBot="1">
      <c r="B54" s="348" t="str">
        <f>'L''Acqua AQP'!B8:C8</f>
        <v>Utente 1</v>
      </c>
      <c r="C54" s="349"/>
      <c r="D54" s="224">
        <v>2595</v>
      </c>
      <c r="E54" s="224">
        <v>2614</v>
      </c>
      <c r="F54" s="227" t="s">
        <v>140</v>
      </c>
      <c r="G54" s="147">
        <f>E54-D54</f>
        <v>19</v>
      </c>
      <c r="H54" s="147">
        <v>3</v>
      </c>
      <c r="I54" s="148">
        <f t="shared" ref="I54:I62" si="3">(G54/ConsumoTotaleAccertato)*ConsumoAqp</f>
        <v>23.650095602294456</v>
      </c>
      <c r="J54" s="149">
        <f>I54-G54</f>
        <v>4.6500956022944564</v>
      </c>
      <c r="K54" s="150">
        <f t="shared" ref="K54:K80" si="4">J54*$M$53</f>
        <v>3.2952530478011481</v>
      </c>
      <c r="L54" s="150">
        <f t="shared" ref="L54:L80" si="5">I54/GiorniAqp</f>
        <v>0.24132750614586179</v>
      </c>
      <c r="M54" s="163">
        <f>IF(I54&gt;=$M$52*H54,$M$52*H54,I54)</f>
        <v>22.58868904109589</v>
      </c>
      <c r="N54" s="164">
        <f>IF(I54&gt;=($M$52+$N$52)*H54,$N$52*H54,I54-$M54)</f>
        <v>1.0614065611985666</v>
      </c>
      <c r="O54" s="165">
        <f>IF(I54&gt;=($M$52+$N$52+$O$52)*H54,$O$54*H54,(I54-M54-N54))</f>
        <v>0</v>
      </c>
      <c r="P54" s="166">
        <f>IF(I54&gt;=($M$52+$N$52+$O$52+$P$52)*H54,$P$52*H54,I54-M54-N54-O54)</f>
        <v>0</v>
      </c>
      <c r="Q54" s="167">
        <f>IF(I54&gt;=($M$52+$N$52+$O$52+$P$52)*H54,I54-M54-N54-O54-P54,0)</f>
        <v>0</v>
      </c>
      <c r="R54" s="156">
        <f t="shared" ref="R54:R80" si="6">I54*$R$53</f>
        <v>20.992889110898663</v>
      </c>
      <c r="S54" s="157">
        <f t="shared" ref="S54:S80" si="7">S$53*GiorniAqp</f>
        <v>11.512942000000001</v>
      </c>
      <c r="T54" s="158">
        <f>M54*M$53+N54*N$53+O54*O$53+P54*P$53+Q54*Q$53+R54+S54</f>
        <v>49.453320945081749</v>
      </c>
      <c r="U54" s="158">
        <f>T54*10/100</f>
        <v>4.9453320945081751</v>
      </c>
      <c r="V54" s="159">
        <f t="shared" ref="V54:V80" si="8">$S$16/Nclienti</f>
        <v>0.85666666666666658</v>
      </c>
      <c r="W54" s="159">
        <f>T54+U54+V54</f>
        <v>55.255319706256593</v>
      </c>
      <c r="X54" s="160">
        <f t="shared" ref="X54:X80" si="9">G54*$S$12/ConsumoTotaleAccertato</f>
        <v>-3.4636210817137387</v>
      </c>
      <c r="Y54" s="208">
        <f>W54+X54</f>
        <v>51.791698624542853</v>
      </c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</row>
    <row r="55" spans="2:62" ht="45" customHeight="1" thickBot="1">
      <c r="B55" s="348" t="str">
        <f>'L''Acqua AQP'!B9:C9</f>
        <v>Utente 2</v>
      </c>
      <c r="C55" s="349"/>
      <c r="D55" s="225">
        <v>5615</v>
      </c>
      <c r="E55" s="225">
        <v>5655</v>
      </c>
      <c r="F55" s="228" t="s">
        <v>140</v>
      </c>
      <c r="G55" s="151">
        <f>E55-D55</f>
        <v>40</v>
      </c>
      <c r="H55" s="151">
        <v>3</v>
      </c>
      <c r="I55" s="152">
        <f t="shared" si="3"/>
        <v>49.789674952198851</v>
      </c>
      <c r="J55" s="153">
        <f t="shared" ref="J55:J80" si="10">I55-G55</f>
        <v>9.7896749521988511</v>
      </c>
      <c r="K55" s="154">
        <f t="shared" si="4"/>
        <v>6.9373748374760984</v>
      </c>
      <c r="L55" s="154">
        <f t="shared" si="5"/>
        <v>0.50805790767549852</v>
      </c>
      <c r="M55" s="168">
        <f t="shared" ref="M55:M80" si="11">IF(I55&gt;=$M$52*H55,$M$52*H55,I55)</f>
        <v>22.58868904109589</v>
      </c>
      <c r="N55" s="169">
        <f t="shared" ref="N55:N80" si="12">IF(I55&gt;=($M$52+$N$52)*H55,$N$52*H55,I55-$M55)</f>
        <v>19.934794520547946</v>
      </c>
      <c r="O55" s="170">
        <f t="shared" ref="O55:O80" si="13">IF(I55&gt;=($M$52+$N$52+$O$52)*H55,$O$54*H55,(I55-M55-N55))</f>
        <v>7.2661913905550151</v>
      </c>
      <c r="P55" s="171">
        <f t="shared" ref="P55:P80" si="14">IF(I55&gt;=($M$52+$N$52+$O$52+$P$52)*H55,$P$52*H55,I55-M55-N55-O55)</f>
        <v>0</v>
      </c>
      <c r="Q55" s="172">
        <f t="shared" ref="Q55:Q80" si="15">IF(I55&gt;=($M$52+$N$52+$O$52+$P$52)*H55,I55-M55-N55-O55-P55,0)</f>
        <v>0</v>
      </c>
      <c r="R55" s="161">
        <f t="shared" si="6"/>
        <v>44.195556022944551</v>
      </c>
      <c r="S55" s="157">
        <f t="shared" si="7"/>
        <v>11.512942000000001</v>
      </c>
      <c r="T55" s="157">
        <f t="shared" ref="T55:T80" si="16">M55*M$53+N55*N$53+O55*O$53+P55*P$53+Q55*Q$53+R55+S55</f>
        <v>100.60562814403504</v>
      </c>
      <c r="U55" s="157">
        <f t="shared" ref="U55:U80" si="17">T55*10/100</f>
        <v>10.060562814403504</v>
      </c>
      <c r="V55" s="159">
        <f t="shared" si="8"/>
        <v>0.85666666666666658</v>
      </c>
      <c r="W55" s="159">
        <f t="shared" ref="W55:W80" si="18">T55+U55+V55</f>
        <v>111.5228576251052</v>
      </c>
      <c r="X55" s="162">
        <f t="shared" si="9"/>
        <v>-7.2918338562394496</v>
      </c>
      <c r="Y55" s="208">
        <f t="shared" ref="Y55:Y80" si="19">W55+X55</f>
        <v>104.23102376886575</v>
      </c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</row>
    <row r="56" spans="2:62" ht="45" customHeight="1" thickBot="1">
      <c r="B56" s="348" t="str">
        <f>'L''Acqua AQP'!B10:C10</f>
        <v>Utente 3</v>
      </c>
      <c r="C56" s="349"/>
      <c r="D56" s="226">
        <v>2636</v>
      </c>
      <c r="E56" s="226">
        <v>2651</v>
      </c>
      <c r="F56" s="228" t="s">
        <v>141</v>
      </c>
      <c r="G56" s="151">
        <f t="shared" ref="G56:G80" si="20">E56-D56</f>
        <v>15</v>
      </c>
      <c r="H56" s="151">
        <v>3</v>
      </c>
      <c r="I56" s="152">
        <f t="shared" si="3"/>
        <v>18.671128107074569</v>
      </c>
      <c r="J56" s="153">
        <f t="shared" si="10"/>
        <v>3.6711281070745692</v>
      </c>
      <c r="K56" s="154">
        <f t="shared" si="4"/>
        <v>2.6015155640535368</v>
      </c>
      <c r="L56" s="154">
        <f t="shared" si="5"/>
        <v>0.19052171537831192</v>
      </c>
      <c r="M56" s="168">
        <f t="shared" si="11"/>
        <v>18.671128107074569</v>
      </c>
      <c r="N56" s="169">
        <f t="shared" si="12"/>
        <v>0</v>
      </c>
      <c r="O56" s="170">
        <f t="shared" si="13"/>
        <v>0</v>
      </c>
      <c r="P56" s="171">
        <f t="shared" si="14"/>
        <v>0</v>
      </c>
      <c r="Q56" s="172">
        <f t="shared" si="15"/>
        <v>0</v>
      </c>
      <c r="R56" s="161">
        <f t="shared" si="6"/>
        <v>16.573333508604208</v>
      </c>
      <c r="S56" s="157">
        <f t="shared" si="7"/>
        <v>11.512942000000001</v>
      </c>
      <c r="T56" s="157">
        <f t="shared" si="16"/>
        <v>41.317421072657744</v>
      </c>
      <c r="U56" s="157">
        <f t="shared" si="17"/>
        <v>4.1317421072657741</v>
      </c>
      <c r="V56" s="159">
        <f t="shared" si="8"/>
        <v>0.85666666666666658</v>
      </c>
      <c r="W56" s="159">
        <f t="shared" si="18"/>
        <v>46.305829846590186</v>
      </c>
      <c r="X56" s="162">
        <f t="shared" si="9"/>
        <v>-2.7344376960897936</v>
      </c>
      <c r="Y56" s="208">
        <f t="shared" si="19"/>
        <v>43.571392150500394</v>
      </c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</row>
    <row r="57" spans="2:62" ht="45" customHeight="1" thickBot="1">
      <c r="B57" s="348" t="str">
        <f>'L''Acqua AQP'!B11:C11</f>
        <v>Utente 4</v>
      </c>
      <c r="C57" s="349"/>
      <c r="D57" s="225">
        <f>6385+3</f>
        <v>6388</v>
      </c>
      <c r="E57" s="225">
        <v>6447</v>
      </c>
      <c r="F57" s="228" t="s">
        <v>141</v>
      </c>
      <c r="G57" s="151">
        <f t="shared" si="20"/>
        <v>59</v>
      </c>
      <c r="H57" s="151">
        <v>3</v>
      </c>
      <c r="I57" s="152">
        <f t="shared" si="3"/>
        <v>73.439770554493307</v>
      </c>
      <c r="J57" s="153">
        <f t="shared" si="10"/>
        <v>14.439770554493307</v>
      </c>
      <c r="K57" s="154">
        <f t="shared" si="4"/>
        <v>10.232627885277246</v>
      </c>
      <c r="L57" s="154">
        <f t="shared" si="5"/>
        <v>0.74938541382136026</v>
      </c>
      <c r="M57" s="168">
        <f t="shared" si="11"/>
        <v>22.58868904109589</v>
      </c>
      <c r="N57" s="169">
        <f t="shared" si="12"/>
        <v>19.934794520547946</v>
      </c>
      <c r="O57" s="170">
        <f t="shared" si="13"/>
        <v>30.916286992849471</v>
      </c>
      <c r="P57" s="171">
        <f t="shared" si="14"/>
        <v>0</v>
      </c>
      <c r="Q57" s="172">
        <f t="shared" si="15"/>
        <v>0</v>
      </c>
      <c r="R57" s="161">
        <f t="shared" si="6"/>
        <v>65.188445133843217</v>
      </c>
      <c r="S57" s="157">
        <f t="shared" si="7"/>
        <v>11.512942000000001</v>
      </c>
      <c r="T57" s="157">
        <f t="shared" si="16"/>
        <v>158.15513223007713</v>
      </c>
      <c r="U57" s="157">
        <f t="shared" si="17"/>
        <v>15.815513223007713</v>
      </c>
      <c r="V57" s="159">
        <f t="shared" si="8"/>
        <v>0.85666666666666658</v>
      </c>
      <c r="W57" s="159">
        <f t="shared" si="18"/>
        <v>174.8273121197515</v>
      </c>
      <c r="X57" s="162">
        <f t="shared" si="9"/>
        <v>-10.755454937953187</v>
      </c>
      <c r="Y57" s="208">
        <f t="shared" si="19"/>
        <v>164.07185718179832</v>
      </c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</row>
    <row r="58" spans="2:62" ht="45" customHeight="1" thickBot="1">
      <c r="B58" s="348" t="str">
        <f>'L''Acqua AQP'!B12:C12</f>
        <v>Utente 5</v>
      </c>
      <c r="C58" s="349"/>
      <c r="D58" s="226">
        <v>2091</v>
      </c>
      <c r="E58" s="226">
        <v>2118</v>
      </c>
      <c r="F58" s="228" t="s">
        <v>142</v>
      </c>
      <c r="G58" s="151">
        <f t="shared" si="20"/>
        <v>27</v>
      </c>
      <c r="H58" s="151">
        <v>3</v>
      </c>
      <c r="I58" s="152">
        <f t="shared" si="3"/>
        <v>33.608030592734224</v>
      </c>
      <c r="J58" s="153">
        <f t="shared" si="10"/>
        <v>6.6080305927342238</v>
      </c>
      <c r="K58" s="154">
        <f t="shared" si="4"/>
        <v>4.682728015296366</v>
      </c>
      <c r="L58" s="154">
        <f t="shared" si="5"/>
        <v>0.34293908768096149</v>
      </c>
      <c r="M58" s="168">
        <f t="shared" si="11"/>
        <v>22.58868904109589</v>
      </c>
      <c r="N58" s="169">
        <f t="shared" si="12"/>
        <v>11.019341551638334</v>
      </c>
      <c r="O58" s="170">
        <f t="shared" si="13"/>
        <v>0</v>
      </c>
      <c r="P58" s="171">
        <f t="shared" si="14"/>
        <v>0</v>
      </c>
      <c r="Q58" s="172">
        <f t="shared" si="15"/>
        <v>0</v>
      </c>
      <c r="R58" s="161">
        <f t="shared" si="6"/>
        <v>29.832000315487569</v>
      </c>
      <c r="S58" s="157">
        <f t="shared" si="7"/>
        <v>11.512942000000001</v>
      </c>
      <c r="T58" s="157">
        <f t="shared" si="16"/>
        <v>67.113190880072182</v>
      </c>
      <c r="U58" s="157">
        <f t="shared" si="17"/>
        <v>6.711319088007218</v>
      </c>
      <c r="V58" s="159">
        <f t="shared" si="8"/>
        <v>0.85666666666666658</v>
      </c>
      <c r="W58" s="159">
        <f t="shared" si="18"/>
        <v>74.681176634746066</v>
      </c>
      <c r="X58" s="162">
        <f t="shared" si="9"/>
        <v>-4.9219878529616281</v>
      </c>
      <c r="Y58" s="208">
        <f t="shared" si="19"/>
        <v>69.759188781784445</v>
      </c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</row>
    <row r="59" spans="2:62" ht="45" customHeight="1" thickBot="1">
      <c r="B59" s="348" t="str">
        <f>'L''Acqua AQP'!B13:C13</f>
        <v>Utente 6</v>
      </c>
      <c r="C59" s="349"/>
      <c r="D59" s="225">
        <v>69</v>
      </c>
      <c r="E59" s="225">
        <v>69</v>
      </c>
      <c r="F59" s="228" t="s">
        <v>143</v>
      </c>
      <c r="G59" s="155">
        <f t="shared" si="20"/>
        <v>0</v>
      </c>
      <c r="H59" s="151">
        <v>3</v>
      </c>
      <c r="I59" s="152">
        <f t="shared" si="3"/>
        <v>0</v>
      </c>
      <c r="J59" s="153">
        <f t="shared" si="10"/>
        <v>0</v>
      </c>
      <c r="K59" s="154">
        <f t="shared" si="4"/>
        <v>0</v>
      </c>
      <c r="L59" s="154">
        <f t="shared" si="5"/>
        <v>0</v>
      </c>
      <c r="M59" s="168">
        <f t="shared" si="11"/>
        <v>0</v>
      </c>
      <c r="N59" s="169">
        <f t="shared" si="12"/>
        <v>0</v>
      </c>
      <c r="O59" s="170">
        <f t="shared" si="13"/>
        <v>0</v>
      </c>
      <c r="P59" s="171">
        <f t="shared" si="14"/>
        <v>0</v>
      </c>
      <c r="Q59" s="172">
        <f t="shared" si="15"/>
        <v>0</v>
      </c>
      <c r="R59" s="161">
        <f t="shared" si="6"/>
        <v>0</v>
      </c>
      <c r="S59" s="157">
        <f t="shared" si="7"/>
        <v>11.512942000000001</v>
      </c>
      <c r="T59" s="157">
        <f t="shared" si="16"/>
        <v>11.512942000000001</v>
      </c>
      <c r="U59" s="157">
        <f t="shared" si="17"/>
        <v>1.1512942000000002</v>
      </c>
      <c r="V59" s="159">
        <f t="shared" si="8"/>
        <v>0.85666666666666658</v>
      </c>
      <c r="W59" s="159">
        <f t="shared" si="18"/>
        <v>13.520902866666669</v>
      </c>
      <c r="X59" s="162">
        <f t="shared" si="9"/>
        <v>0</v>
      </c>
      <c r="Y59" s="208">
        <f t="shared" si="19"/>
        <v>13.520902866666669</v>
      </c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</row>
    <row r="60" spans="2:62" ht="45" customHeight="1" thickBot="1">
      <c r="B60" s="348" t="str">
        <f>'L''Acqua AQP'!B14:C14</f>
        <v>Utente 7</v>
      </c>
      <c r="C60" s="349"/>
      <c r="D60" s="226">
        <v>41</v>
      </c>
      <c r="E60" s="226">
        <v>55</v>
      </c>
      <c r="F60" s="228" t="s">
        <v>143</v>
      </c>
      <c r="G60" s="151">
        <f t="shared" si="20"/>
        <v>14</v>
      </c>
      <c r="H60" s="151">
        <v>3</v>
      </c>
      <c r="I60" s="152">
        <f t="shared" si="3"/>
        <v>17.4263862332696</v>
      </c>
      <c r="J60" s="153">
        <f t="shared" si="10"/>
        <v>3.4263862332696</v>
      </c>
      <c r="K60" s="154">
        <f t="shared" si="4"/>
        <v>2.4280811931166357</v>
      </c>
      <c r="L60" s="154">
        <f t="shared" si="5"/>
        <v>0.17782026768642448</v>
      </c>
      <c r="M60" s="168">
        <f t="shared" si="11"/>
        <v>17.4263862332696</v>
      </c>
      <c r="N60" s="169">
        <f t="shared" si="12"/>
        <v>0</v>
      </c>
      <c r="O60" s="170">
        <f t="shared" si="13"/>
        <v>0</v>
      </c>
      <c r="P60" s="171">
        <f t="shared" si="14"/>
        <v>0</v>
      </c>
      <c r="Q60" s="172">
        <f t="shared" si="15"/>
        <v>0</v>
      </c>
      <c r="R60" s="161">
        <f t="shared" si="6"/>
        <v>15.468444608030595</v>
      </c>
      <c r="S60" s="157">
        <f t="shared" si="7"/>
        <v>11.512942000000001</v>
      </c>
      <c r="T60" s="157">
        <f t="shared" si="16"/>
        <v>39.330455801147231</v>
      </c>
      <c r="U60" s="157">
        <f t="shared" si="17"/>
        <v>3.9330455801147228</v>
      </c>
      <c r="V60" s="159">
        <f t="shared" si="8"/>
        <v>0.85666666666666658</v>
      </c>
      <c r="W60" s="159">
        <f t="shared" si="18"/>
        <v>44.120168047928622</v>
      </c>
      <c r="X60" s="162">
        <f t="shared" si="9"/>
        <v>-2.5521418496838075</v>
      </c>
      <c r="Y60" s="208">
        <f t="shared" si="19"/>
        <v>41.568026198244816</v>
      </c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</row>
    <row r="61" spans="2:62" ht="45" customHeight="1" thickBot="1">
      <c r="B61" s="348" t="str">
        <f>'L''Acqua AQP'!B15:C15</f>
        <v>Utente 8</v>
      </c>
      <c r="C61" s="349"/>
      <c r="D61" s="225">
        <v>33</v>
      </c>
      <c r="E61" s="225">
        <v>33</v>
      </c>
      <c r="F61" s="228" t="s">
        <v>143</v>
      </c>
      <c r="G61" s="151">
        <f t="shared" si="20"/>
        <v>0</v>
      </c>
      <c r="H61" s="151">
        <v>3</v>
      </c>
      <c r="I61" s="152">
        <f t="shared" si="3"/>
        <v>0</v>
      </c>
      <c r="J61" s="153">
        <f t="shared" si="10"/>
        <v>0</v>
      </c>
      <c r="K61" s="154">
        <f t="shared" si="4"/>
        <v>0</v>
      </c>
      <c r="L61" s="154">
        <f t="shared" si="5"/>
        <v>0</v>
      </c>
      <c r="M61" s="168">
        <f t="shared" si="11"/>
        <v>0</v>
      </c>
      <c r="N61" s="169">
        <f t="shared" si="12"/>
        <v>0</v>
      </c>
      <c r="O61" s="170">
        <f t="shared" si="13"/>
        <v>0</v>
      </c>
      <c r="P61" s="171">
        <f t="shared" si="14"/>
        <v>0</v>
      </c>
      <c r="Q61" s="172">
        <f t="shared" si="15"/>
        <v>0</v>
      </c>
      <c r="R61" s="161">
        <f t="shared" si="6"/>
        <v>0</v>
      </c>
      <c r="S61" s="157">
        <f t="shared" si="7"/>
        <v>11.512942000000001</v>
      </c>
      <c r="T61" s="157">
        <f t="shared" si="16"/>
        <v>11.512942000000001</v>
      </c>
      <c r="U61" s="157">
        <f t="shared" si="17"/>
        <v>1.1512942000000002</v>
      </c>
      <c r="V61" s="159">
        <f t="shared" si="8"/>
        <v>0.85666666666666658</v>
      </c>
      <c r="W61" s="159">
        <f t="shared" si="18"/>
        <v>13.520902866666669</v>
      </c>
      <c r="X61" s="162">
        <f t="shared" si="9"/>
        <v>0</v>
      </c>
      <c r="Y61" s="208">
        <f t="shared" si="19"/>
        <v>13.520902866666669</v>
      </c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</row>
    <row r="62" spans="2:62" ht="45" customHeight="1" thickBot="1">
      <c r="B62" s="348" t="str">
        <f>'L''Acqua AQP'!B16:C16</f>
        <v>Utente 9</v>
      </c>
      <c r="C62" s="349"/>
      <c r="D62" s="226">
        <v>16</v>
      </c>
      <c r="E62" s="226">
        <v>16</v>
      </c>
      <c r="F62" s="228" t="s">
        <v>143</v>
      </c>
      <c r="G62" s="151">
        <f t="shared" si="20"/>
        <v>0</v>
      </c>
      <c r="H62" s="151">
        <v>3</v>
      </c>
      <c r="I62" s="152">
        <f t="shared" si="3"/>
        <v>0</v>
      </c>
      <c r="J62" s="153">
        <f t="shared" si="10"/>
        <v>0</v>
      </c>
      <c r="K62" s="154">
        <f t="shared" si="4"/>
        <v>0</v>
      </c>
      <c r="L62" s="154">
        <f t="shared" si="5"/>
        <v>0</v>
      </c>
      <c r="M62" s="168">
        <f t="shared" si="11"/>
        <v>0</v>
      </c>
      <c r="N62" s="169">
        <f t="shared" si="12"/>
        <v>0</v>
      </c>
      <c r="O62" s="170">
        <f t="shared" si="13"/>
        <v>0</v>
      </c>
      <c r="P62" s="171">
        <f t="shared" si="14"/>
        <v>0</v>
      </c>
      <c r="Q62" s="172">
        <f t="shared" si="15"/>
        <v>0</v>
      </c>
      <c r="R62" s="161">
        <f t="shared" si="6"/>
        <v>0</v>
      </c>
      <c r="S62" s="157">
        <f t="shared" si="7"/>
        <v>11.512942000000001</v>
      </c>
      <c r="T62" s="157">
        <f t="shared" si="16"/>
        <v>11.512942000000001</v>
      </c>
      <c r="U62" s="157">
        <f t="shared" si="17"/>
        <v>1.1512942000000002</v>
      </c>
      <c r="V62" s="159">
        <f t="shared" si="8"/>
        <v>0.85666666666666658</v>
      </c>
      <c r="W62" s="159">
        <f t="shared" si="18"/>
        <v>13.520902866666669</v>
      </c>
      <c r="X62" s="162">
        <f t="shared" si="9"/>
        <v>0</v>
      </c>
      <c r="Y62" s="208">
        <f t="shared" si="19"/>
        <v>13.520902866666669</v>
      </c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</row>
    <row r="63" spans="2:62" ht="45" customHeight="1" thickBot="1">
      <c r="B63" s="348" t="str">
        <f>'L''Acqua AQP'!B17:C17</f>
        <v>Utente 10</v>
      </c>
      <c r="C63" s="349"/>
      <c r="D63" s="225">
        <v>58</v>
      </c>
      <c r="E63" s="225">
        <v>63</v>
      </c>
      <c r="F63" s="228" t="s">
        <v>140</v>
      </c>
      <c r="G63" s="151">
        <f t="shared" si="20"/>
        <v>5</v>
      </c>
      <c r="H63" s="151">
        <v>3</v>
      </c>
      <c r="I63" s="152">
        <f t="shared" ref="I63:I80" si="21">(G63/ConsumoTotaleAccertato)*ConsumoAqp</f>
        <v>6.2237093690248564</v>
      </c>
      <c r="J63" s="153">
        <f t="shared" si="10"/>
        <v>1.2237093690248564</v>
      </c>
      <c r="K63" s="154">
        <f t="shared" si="4"/>
        <v>0.8671718546845123</v>
      </c>
      <c r="L63" s="154">
        <f t="shared" si="5"/>
        <v>6.3507238459437315E-2</v>
      </c>
      <c r="M63" s="168">
        <f t="shared" si="11"/>
        <v>6.2237093690248564</v>
      </c>
      <c r="N63" s="169">
        <f t="shared" si="12"/>
        <v>0</v>
      </c>
      <c r="O63" s="170">
        <f t="shared" si="13"/>
        <v>0</v>
      </c>
      <c r="P63" s="171">
        <f t="shared" si="14"/>
        <v>0</v>
      </c>
      <c r="Q63" s="172">
        <f t="shared" si="15"/>
        <v>0</v>
      </c>
      <c r="R63" s="161">
        <f t="shared" si="6"/>
        <v>5.5244445028680689</v>
      </c>
      <c r="S63" s="157">
        <f t="shared" si="7"/>
        <v>11.512942000000001</v>
      </c>
      <c r="T63" s="157">
        <f t="shared" si="16"/>
        <v>21.447768357552583</v>
      </c>
      <c r="U63" s="157">
        <f t="shared" si="17"/>
        <v>2.1447768357552581</v>
      </c>
      <c r="V63" s="159">
        <f t="shared" si="8"/>
        <v>0.85666666666666658</v>
      </c>
      <c r="W63" s="159">
        <f t="shared" si="18"/>
        <v>24.449211859974508</v>
      </c>
      <c r="X63" s="162">
        <f t="shared" si="9"/>
        <v>-0.9114792320299312</v>
      </c>
      <c r="Y63" s="208">
        <f t="shared" si="19"/>
        <v>23.537732627944578</v>
      </c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</row>
    <row r="64" spans="2:62" ht="45" customHeight="1" thickBot="1">
      <c r="B64" s="348" t="str">
        <f>'L''Acqua AQP'!B18:C18</f>
        <v>Utente 11</v>
      </c>
      <c r="C64" s="349"/>
      <c r="D64" s="226">
        <v>1652</v>
      </c>
      <c r="E64" s="226">
        <v>1684</v>
      </c>
      <c r="F64" s="228" t="s">
        <v>140</v>
      </c>
      <c r="G64" s="151">
        <f t="shared" si="20"/>
        <v>32</v>
      </c>
      <c r="H64" s="151">
        <v>3</v>
      </c>
      <c r="I64" s="152">
        <f t="shared" si="21"/>
        <v>39.831739961759084</v>
      </c>
      <c r="J64" s="153">
        <f t="shared" si="10"/>
        <v>7.8317399617590837</v>
      </c>
      <c r="K64" s="154">
        <f t="shared" si="4"/>
        <v>5.5498998699808801</v>
      </c>
      <c r="L64" s="154">
        <f t="shared" si="5"/>
        <v>0.40644632614039883</v>
      </c>
      <c r="M64" s="168">
        <f t="shared" si="11"/>
        <v>22.58868904109589</v>
      </c>
      <c r="N64" s="169">
        <f t="shared" si="12"/>
        <v>17.243050920663194</v>
      </c>
      <c r="O64" s="170">
        <f t="shared" si="13"/>
        <v>0</v>
      </c>
      <c r="P64" s="171">
        <f t="shared" si="14"/>
        <v>0</v>
      </c>
      <c r="Q64" s="172">
        <f t="shared" si="15"/>
        <v>0</v>
      </c>
      <c r="R64" s="161">
        <f t="shared" si="6"/>
        <v>35.356444818355641</v>
      </c>
      <c r="S64" s="157">
        <f t="shared" si="7"/>
        <v>11.512942000000001</v>
      </c>
      <c r="T64" s="157">
        <f t="shared" si="16"/>
        <v>78.150609589441203</v>
      </c>
      <c r="U64" s="157">
        <f t="shared" si="17"/>
        <v>7.8150609589441205</v>
      </c>
      <c r="V64" s="159">
        <f t="shared" si="8"/>
        <v>0.85666666666666658</v>
      </c>
      <c r="W64" s="159">
        <f t="shared" si="18"/>
        <v>86.822337215051988</v>
      </c>
      <c r="X64" s="162">
        <f t="shared" si="9"/>
        <v>-5.8334670849915602</v>
      </c>
      <c r="Y64" s="208">
        <f t="shared" si="19"/>
        <v>80.988870130060434</v>
      </c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</row>
    <row r="65" spans="2:62" ht="45" customHeight="1" thickBot="1">
      <c r="B65" s="348" t="str">
        <f>'L''Acqua AQP'!B19:C19</f>
        <v>Utente 12</v>
      </c>
      <c r="C65" s="349"/>
      <c r="D65" s="225">
        <v>3953</v>
      </c>
      <c r="E65" s="225">
        <v>3984</v>
      </c>
      <c r="F65" s="228" t="s">
        <v>141</v>
      </c>
      <c r="G65" s="151">
        <f t="shared" si="20"/>
        <v>31</v>
      </c>
      <c r="H65" s="151">
        <v>3</v>
      </c>
      <c r="I65" s="152">
        <f t="shared" si="21"/>
        <v>38.586998087954115</v>
      </c>
      <c r="J65" s="153">
        <f t="shared" si="10"/>
        <v>7.5869980879541146</v>
      </c>
      <c r="K65" s="154">
        <f t="shared" si="4"/>
        <v>5.37646549904398</v>
      </c>
      <c r="L65" s="154">
        <f t="shared" si="5"/>
        <v>0.39374487844851136</v>
      </c>
      <c r="M65" s="168">
        <f t="shared" si="11"/>
        <v>22.58868904109589</v>
      </c>
      <c r="N65" s="169">
        <f t="shared" si="12"/>
        <v>15.998309046858225</v>
      </c>
      <c r="O65" s="170">
        <f t="shared" si="13"/>
        <v>0</v>
      </c>
      <c r="P65" s="171">
        <f t="shared" si="14"/>
        <v>0</v>
      </c>
      <c r="Q65" s="172">
        <f t="shared" si="15"/>
        <v>0</v>
      </c>
      <c r="R65" s="161">
        <f t="shared" si="6"/>
        <v>34.251555917782028</v>
      </c>
      <c r="S65" s="157">
        <f t="shared" si="7"/>
        <v>11.512942000000001</v>
      </c>
      <c r="T65" s="157">
        <f t="shared" si="16"/>
        <v>75.943125847567401</v>
      </c>
      <c r="U65" s="157">
        <f t="shared" si="17"/>
        <v>7.5943125847567394</v>
      </c>
      <c r="V65" s="159">
        <f t="shared" si="8"/>
        <v>0.85666666666666658</v>
      </c>
      <c r="W65" s="159">
        <f t="shared" si="18"/>
        <v>84.394105098990806</v>
      </c>
      <c r="X65" s="162">
        <f t="shared" si="9"/>
        <v>-5.6511712385855732</v>
      </c>
      <c r="Y65" s="208">
        <f t="shared" si="19"/>
        <v>78.74293386040523</v>
      </c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</row>
    <row r="66" spans="2:62" ht="45" customHeight="1" thickBot="1">
      <c r="B66" s="348" t="str">
        <f>'L''Acqua AQP'!B20:C20</f>
        <v>Utente 13</v>
      </c>
      <c r="C66" s="349"/>
      <c r="D66" s="226">
        <v>3360</v>
      </c>
      <c r="E66" s="226">
        <v>3378</v>
      </c>
      <c r="F66" s="228" t="s">
        <v>141</v>
      </c>
      <c r="G66" s="151">
        <f t="shared" si="20"/>
        <v>18</v>
      </c>
      <c r="H66" s="151">
        <v>3</v>
      </c>
      <c r="I66" s="152">
        <f t="shared" si="21"/>
        <v>22.405353728489484</v>
      </c>
      <c r="J66" s="153">
        <f t="shared" si="10"/>
        <v>4.4053537284894837</v>
      </c>
      <c r="K66" s="154">
        <f t="shared" si="4"/>
        <v>3.1218186768642449</v>
      </c>
      <c r="L66" s="154">
        <f t="shared" si="5"/>
        <v>0.22862605845397432</v>
      </c>
      <c r="M66" s="168">
        <f t="shared" si="11"/>
        <v>22.405353728489484</v>
      </c>
      <c r="N66" s="169">
        <f t="shared" si="12"/>
        <v>0</v>
      </c>
      <c r="O66" s="170">
        <f t="shared" si="13"/>
        <v>0</v>
      </c>
      <c r="P66" s="171">
        <f t="shared" si="14"/>
        <v>0</v>
      </c>
      <c r="Q66" s="172">
        <f t="shared" si="15"/>
        <v>0</v>
      </c>
      <c r="R66" s="161">
        <f t="shared" si="6"/>
        <v>19.88800021032505</v>
      </c>
      <c r="S66" s="157">
        <f t="shared" si="7"/>
        <v>11.512942000000001</v>
      </c>
      <c r="T66" s="157">
        <f t="shared" si="16"/>
        <v>47.278316887189298</v>
      </c>
      <c r="U66" s="157">
        <f t="shared" si="17"/>
        <v>4.72783168871893</v>
      </c>
      <c r="V66" s="159">
        <f t="shared" si="8"/>
        <v>0.85666666666666658</v>
      </c>
      <c r="W66" s="159">
        <f t="shared" si="18"/>
        <v>52.862815242574897</v>
      </c>
      <c r="X66" s="162">
        <f t="shared" si="9"/>
        <v>-3.2813252353077527</v>
      </c>
      <c r="Y66" s="208">
        <f t="shared" si="19"/>
        <v>49.581490007267142</v>
      </c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</row>
    <row r="67" spans="2:62" ht="45" customHeight="1" thickBot="1">
      <c r="B67" s="348" t="str">
        <f>'L''Acqua AQP'!B21:C21</f>
        <v>Utente 14</v>
      </c>
      <c r="C67" s="349"/>
      <c r="D67" s="225">
        <v>1355</v>
      </c>
      <c r="E67" s="225">
        <v>1385</v>
      </c>
      <c r="F67" s="228" t="s">
        <v>142</v>
      </c>
      <c r="G67" s="151">
        <f t="shared" si="20"/>
        <v>30</v>
      </c>
      <c r="H67" s="151">
        <v>3</v>
      </c>
      <c r="I67" s="152">
        <f t="shared" si="21"/>
        <v>37.342256214149138</v>
      </c>
      <c r="J67" s="153">
        <f t="shared" si="10"/>
        <v>7.3422562141491383</v>
      </c>
      <c r="K67" s="154">
        <f t="shared" si="4"/>
        <v>5.2030311281070736</v>
      </c>
      <c r="L67" s="154">
        <f t="shared" si="5"/>
        <v>0.38104343075662384</v>
      </c>
      <c r="M67" s="168">
        <f t="shared" si="11"/>
        <v>22.58868904109589</v>
      </c>
      <c r="N67" s="169">
        <f t="shared" si="12"/>
        <v>14.753567173053248</v>
      </c>
      <c r="O67" s="170">
        <f t="shared" si="13"/>
        <v>0</v>
      </c>
      <c r="P67" s="171">
        <f t="shared" si="14"/>
        <v>0</v>
      </c>
      <c r="Q67" s="172">
        <f t="shared" si="15"/>
        <v>0</v>
      </c>
      <c r="R67" s="161">
        <f t="shared" si="6"/>
        <v>33.146667017208415</v>
      </c>
      <c r="S67" s="157">
        <f t="shared" si="7"/>
        <v>11.512942000000001</v>
      </c>
      <c r="T67" s="157">
        <f t="shared" si="16"/>
        <v>73.7356421056936</v>
      </c>
      <c r="U67" s="157">
        <f t="shared" si="17"/>
        <v>7.3735642105693602</v>
      </c>
      <c r="V67" s="159">
        <f t="shared" si="8"/>
        <v>0.85666666666666658</v>
      </c>
      <c r="W67" s="159">
        <f t="shared" si="18"/>
        <v>81.965872982929625</v>
      </c>
      <c r="X67" s="162">
        <f t="shared" si="9"/>
        <v>-5.4688753921795872</v>
      </c>
      <c r="Y67" s="208">
        <f t="shared" si="19"/>
        <v>76.496997590750041</v>
      </c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</row>
    <row r="68" spans="2:62" ht="45" customHeight="1" thickBot="1">
      <c r="B68" s="348" t="str">
        <f>'L''Acqua AQP'!B22:C22</f>
        <v>Utente 15</v>
      </c>
      <c r="C68" s="349"/>
      <c r="D68" s="226">
        <v>3535</v>
      </c>
      <c r="E68" s="226">
        <v>3583</v>
      </c>
      <c r="F68" s="228" t="s">
        <v>142</v>
      </c>
      <c r="G68" s="151">
        <f t="shared" si="20"/>
        <v>48</v>
      </c>
      <c r="H68" s="151">
        <v>3</v>
      </c>
      <c r="I68" s="152">
        <f t="shared" si="21"/>
        <v>59.747609942638626</v>
      </c>
      <c r="J68" s="153">
        <f t="shared" si="10"/>
        <v>11.747609942638626</v>
      </c>
      <c r="K68" s="154">
        <f t="shared" si="4"/>
        <v>8.3248498049713202</v>
      </c>
      <c r="L68" s="154">
        <f t="shared" si="5"/>
        <v>0.60966948921059827</v>
      </c>
      <c r="M68" s="168">
        <f t="shared" si="11"/>
        <v>22.58868904109589</v>
      </c>
      <c r="N68" s="169">
        <f t="shared" si="12"/>
        <v>19.934794520547946</v>
      </c>
      <c r="O68" s="170">
        <f t="shared" si="13"/>
        <v>17.22412638099479</v>
      </c>
      <c r="P68" s="171">
        <f t="shared" si="14"/>
        <v>0</v>
      </c>
      <c r="Q68" s="172">
        <f t="shared" si="15"/>
        <v>0</v>
      </c>
      <c r="R68" s="161">
        <f t="shared" si="6"/>
        <v>53.034667227533461</v>
      </c>
      <c r="S68" s="157">
        <f t="shared" si="7"/>
        <v>11.512942000000001</v>
      </c>
      <c r="T68" s="157">
        <f t="shared" si="16"/>
        <v>124.83699828552645</v>
      </c>
      <c r="U68" s="157">
        <f t="shared" si="17"/>
        <v>12.483699828552645</v>
      </c>
      <c r="V68" s="159">
        <f t="shared" si="8"/>
        <v>0.85666666666666658</v>
      </c>
      <c r="W68" s="159">
        <f t="shared" si="18"/>
        <v>138.17736478074576</v>
      </c>
      <c r="X68" s="162">
        <f t="shared" si="9"/>
        <v>-8.7502006274873398</v>
      </c>
      <c r="Y68" s="208">
        <f t="shared" si="19"/>
        <v>129.42716415325842</v>
      </c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</row>
    <row r="69" spans="2:62" ht="45" customHeight="1" thickBot="1">
      <c r="B69" s="348" t="str">
        <f>'L''Acqua AQP'!B23:C23</f>
        <v>Utente 16</v>
      </c>
      <c r="C69" s="349"/>
      <c r="D69" s="225">
        <v>116</v>
      </c>
      <c r="E69" s="225">
        <v>116</v>
      </c>
      <c r="F69" s="228" t="s">
        <v>143</v>
      </c>
      <c r="G69" s="151">
        <f t="shared" si="20"/>
        <v>0</v>
      </c>
      <c r="H69" s="151">
        <v>3</v>
      </c>
      <c r="I69" s="152">
        <f t="shared" si="21"/>
        <v>0</v>
      </c>
      <c r="J69" s="153">
        <f t="shared" si="10"/>
        <v>0</v>
      </c>
      <c r="K69" s="154">
        <f t="shared" si="4"/>
        <v>0</v>
      </c>
      <c r="L69" s="154">
        <f t="shared" si="5"/>
        <v>0</v>
      </c>
      <c r="M69" s="168">
        <f t="shared" si="11"/>
        <v>0</v>
      </c>
      <c r="N69" s="169">
        <f t="shared" si="12"/>
        <v>0</v>
      </c>
      <c r="O69" s="170">
        <f t="shared" si="13"/>
        <v>0</v>
      </c>
      <c r="P69" s="171">
        <f t="shared" si="14"/>
        <v>0</v>
      </c>
      <c r="Q69" s="172">
        <f t="shared" si="15"/>
        <v>0</v>
      </c>
      <c r="R69" s="161">
        <f t="shared" si="6"/>
        <v>0</v>
      </c>
      <c r="S69" s="157">
        <f t="shared" si="7"/>
        <v>11.512942000000001</v>
      </c>
      <c r="T69" s="157">
        <f t="shared" si="16"/>
        <v>11.512942000000001</v>
      </c>
      <c r="U69" s="157">
        <f t="shared" si="17"/>
        <v>1.1512942000000002</v>
      </c>
      <c r="V69" s="159">
        <f t="shared" si="8"/>
        <v>0.85666666666666658</v>
      </c>
      <c r="W69" s="159">
        <f t="shared" si="18"/>
        <v>13.520902866666669</v>
      </c>
      <c r="X69" s="162">
        <f t="shared" si="9"/>
        <v>0</v>
      </c>
      <c r="Y69" s="208">
        <f t="shared" si="19"/>
        <v>13.520902866666669</v>
      </c>
    </row>
    <row r="70" spans="2:62" ht="45" customHeight="1" thickBot="1">
      <c r="B70" s="348" t="str">
        <f>'L''Acqua AQP'!B24:C24</f>
        <v>Utente 17</v>
      </c>
      <c r="C70" s="349"/>
      <c r="D70" s="226">
        <v>15</v>
      </c>
      <c r="E70" s="226">
        <v>15</v>
      </c>
      <c r="F70" s="228" t="s">
        <v>143</v>
      </c>
      <c r="G70" s="151">
        <f t="shared" si="20"/>
        <v>0</v>
      </c>
      <c r="H70" s="151">
        <v>3</v>
      </c>
      <c r="I70" s="152">
        <f t="shared" si="21"/>
        <v>0</v>
      </c>
      <c r="J70" s="153">
        <f t="shared" si="10"/>
        <v>0</v>
      </c>
      <c r="K70" s="154">
        <f t="shared" si="4"/>
        <v>0</v>
      </c>
      <c r="L70" s="154">
        <f t="shared" si="5"/>
        <v>0</v>
      </c>
      <c r="M70" s="168">
        <f t="shared" si="11"/>
        <v>0</v>
      </c>
      <c r="N70" s="169">
        <f t="shared" si="12"/>
        <v>0</v>
      </c>
      <c r="O70" s="170">
        <f t="shared" si="13"/>
        <v>0</v>
      </c>
      <c r="P70" s="171">
        <f t="shared" si="14"/>
        <v>0</v>
      </c>
      <c r="Q70" s="172">
        <f t="shared" si="15"/>
        <v>0</v>
      </c>
      <c r="R70" s="161">
        <f t="shared" si="6"/>
        <v>0</v>
      </c>
      <c r="S70" s="157">
        <f t="shared" si="7"/>
        <v>11.512942000000001</v>
      </c>
      <c r="T70" s="157">
        <f t="shared" si="16"/>
        <v>11.512942000000001</v>
      </c>
      <c r="U70" s="157">
        <f t="shared" si="17"/>
        <v>1.1512942000000002</v>
      </c>
      <c r="V70" s="159">
        <f t="shared" si="8"/>
        <v>0.85666666666666658</v>
      </c>
      <c r="W70" s="159">
        <f t="shared" si="18"/>
        <v>13.520902866666669</v>
      </c>
      <c r="X70" s="162">
        <f t="shared" si="9"/>
        <v>0</v>
      </c>
      <c r="Y70" s="208">
        <f t="shared" si="19"/>
        <v>13.520902866666669</v>
      </c>
    </row>
    <row r="71" spans="2:62" ht="45" customHeight="1" thickBot="1">
      <c r="B71" s="348" t="str">
        <f>'L''Acqua AQP'!B25:C25</f>
        <v>Utente 18</v>
      </c>
      <c r="C71" s="349"/>
      <c r="D71" s="225">
        <v>1316</v>
      </c>
      <c r="E71" s="225">
        <v>1316</v>
      </c>
      <c r="F71" s="228" t="s">
        <v>143</v>
      </c>
      <c r="G71" s="151">
        <f t="shared" si="20"/>
        <v>0</v>
      </c>
      <c r="H71" s="151">
        <v>3</v>
      </c>
      <c r="I71" s="152">
        <f t="shared" si="21"/>
        <v>0</v>
      </c>
      <c r="J71" s="153">
        <f t="shared" si="10"/>
        <v>0</v>
      </c>
      <c r="K71" s="154">
        <f t="shared" si="4"/>
        <v>0</v>
      </c>
      <c r="L71" s="154">
        <f t="shared" si="5"/>
        <v>0</v>
      </c>
      <c r="M71" s="168">
        <f t="shared" si="11"/>
        <v>0</v>
      </c>
      <c r="N71" s="169">
        <f t="shared" si="12"/>
        <v>0</v>
      </c>
      <c r="O71" s="170">
        <f t="shared" si="13"/>
        <v>0</v>
      </c>
      <c r="P71" s="171">
        <f t="shared" si="14"/>
        <v>0</v>
      </c>
      <c r="Q71" s="172">
        <f t="shared" si="15"/>
        <v>0</v>
      </c>
      <c r="R71" s="161">
        <f t="shared" si="6"/>
        <v>0</v>
      </c>
      <c r="S71" s="157">
        <f t="shared" si="7"/>
        <v>11.512942000000001</v>
      </c>
      <c r="T71" s="157">
        <f t="shared" si="16"/>
        <v>11.512942000000001</v>
      </c>
      <c r="U71" s="157">
        <f t="shared" si="17"/>
        <v>1.1512942000000002</v>
      </c>
      <c r="V71" s="159">
        <f t="shared" si="8"/>
        <v>0.85666666666666658</v>
      </c>
      <c r="W71" s="159">
        <f t="shared" si="18"/>
        <v>13.520902866666669</v>
      </c>
      <c r="X71" s="162">
        <f t="shared" si="9"/>
        <v>0</v>
      </c>
      <c r="Y71" s="208">
        <f t="shared" si="19"/>
        <v>13.520902866666669</v>
      </c>
    </row>
    <row r="72" spans="2:62" ht="45" customHeight="1" thickBot="1">
      <c r="B72" s="348" t="str">
        <f>'L''Acqua AQP'!B26:C26</f>
        <v>Utente 19</v>
      </c>
      <c r="C72" s="349"/>
      <c r="D72" s="226">
        <v>67</v>
      </c>
      <c r="E72" s="226">
        <v>67</v>
      </c>
      <c r="F72" s="228" t="s">
        <v>143</v>
      </c>
      <c r="G72" s="151">
        <f t="shared" si="20"/>
        <v>0</v>
      </c>
      <c r="H72" s="151">
        <v>3</v>
      </c>
      <c r="I72" s="152">
        <f t="shared" si="21"/>
        <v>0</v>
      </c>
      <c r="J72" s="153">
        <f t="shared" si="10"/>
        <v>0</v>
      </c>
      <c r="K72" s="154">
        <f t="shared" si="4"/>
        <v>0</v>
      </c>
      <c r="L72" s="154">
        <f t="shared" si="5"/>
        <v>0</v>
      </c>
      <c r="M72" s="168">
        <f t="shared" si="11"/>
        <v>0</v>
      </c>
      <c r="N72" s="169">
        <f t="shared" si="12"/>
        <v>0</v>
      </c>
      <c r="O72" s="170">
        <f t="shared" si="13"/>
        <v>0</v>
      </c>
      <c r="P72" s="171">
        <f t="shared" si="14"/>
        <v>0</v>
      </c>
      <c r="Q72" s="172">
        <f t="shared" si="15"/>
        <v>0</v>
      </c>
      <c r="R72" s="161">
        <f t="shared" si="6"/>
        <v>0</v>
      </c>
      <c r="S72" s="157">
        <f t="shared" si="7"/>
        <v>11.512942000000001</v>
      </c>
      <c r="T72" s="157">
        <f t="shared" si="16"/>
        <v>11.512942000000001</v>
      </c>
      <c r="U72" s="157">
        <f t="shared" si="17"/>
        <v>1.1512942000000002</v>
      </c>
      <c r="V72" s="159">
        <f t="shared" si="8"/>
        <v>0.85666666666666658</v>
      </c>
      <c r="W72" s="159">
        <f t="shared" si="18"/>
        <v>13.520902866666669</v>
      </c>
      <c r="X72" s="162">
        <f t="shared" si="9"/>
        <v>0</v>
      </c>
      <c r="Y72" s="208">
        <f t="shared" si="19"/>
        <v>13.520902866666669</v>
      </c>
    </row>
    <row r="73" spans="2:62" ht="45" customHeight="1" thickBot="1">
      <c r="B73" s="348" t="str">
        <f>'L''Acqua AQP'!B27:C27</f>
        <v>Utente 20</v>
      </c>
      <c r="C73" s="349"/>
      <c r="D73" s="225">
        <v>59</v>
      </c>
      <c r="E73" s="225">
        <v>59</v>
      </c>
      <c r="F73" s="228" t="s">
        <v>143</v>
      </c>
      <c r="G73" s="151">
        <f t="shared" si="20"/>
        <v>0</v>
      </c>
      <c r="H73" s="151">
        <v>3</v>
      </c>
      <c r="I73" s="152">
        <f t="shared" si="21"/>
        <v>0</v>
      </c>
      <c r="J73" s="153">
        <f t="shared" si="10"/>
        <v>0</v>
      </c>
      <c r="K73" s="154">
        <f t="shared" si="4"/>
        <v>0</v>
      </c>
      <c r="L73" s="154">
        <f t="shared" si="5"/>
        <v>0</v>
      </c>
      <c r="M73" s="168">
        <f t="shared" si="11"/>
        <v>0</v>
      </c>
      <c r="N73" s="169">
        <f t="shared" si="12"/>
        <v>0</v>
      </c>
      <c r="O73" s="170">
        <f t="shared" si="13"/>
        <v>0</v>
      </c>
      <c r="P73" s="171">
        <f t="shared" si="14"/>
        <v>0</v>
      </c>
      <c r="Q73" s="172">
        <f t="shared" si="15"/>
        <v>0</v>
      </c>
      <c r="R73" s="161">
        <f t="shared" si="6"/>
        <v>0</v>
      </c>
      <c r="S73" s="157">
        <f t="shared" si="7"/>
        <v>11.512942000000001</v>
      </c>
      <c r="T73" s="157">
        <f t="shared" si="16"/>
        <v>11.512942000000001</v>
      </c>
      <c r="U73" s="157">
        <f t="shared" si="17"/>
        <v>1.1512942000000002</v>
      </c>
      <c r="V73" s="159">
        <f t="shared" si="8"/>
        <v>0.85666666666666658</v>
      </c>
      <c r="W73" s="159">
        <f t="shared" si="18"/>
        <v>13.520902866666669</v>
      </c>
      <c r="X73" s="162">
        <f t="shared" si="9"/>
        <v>0</v>
      </c>
      <c r="Y73" s="208">
        <f t="shared" si="19"/>
        <v>13.520902866666669</v>
      </c>
    </row>
    <row r="74" spans="2:62" ht="45" customHeight="1" thickBot="1">
      <c r="B74" s="348" t="str">
        <f>'L''Acqua AQP'!B28:C28</f>
        <v>Utente 21</v>
      </c>
      <c r="C74" s="349"/>
      <c r="D74" s="226">
        <v>2799</v>
      </c>
      <c r="E74" s="226">
        <v>2825</v>
      </c>
      <c r="F74" s="228" t="s">
        <v>140</v>
      </c>
      <c r="G74" s="151">
        <f t="shared" si="20"/>
        <v>26</v>
      </c>
      <c r="H74" s="151">
        <v>3</v>
      </c>
      <c r="I74" s="152">
        <f t="shared" si="21"/>
        <v>32.363288718929255</v>
      </c>
      <c r="J74" s="153">
        <f t="shared" si="10"/>
        <v>6.3632887189292546</v>
      </c>
      <c r="K74" s="154">
        <f t="shared" si="4"/>
        <v>4.5092936443594649</v>
      </c>
      <c r="L74" s="154">
        <f t="shared" si="5"/>
        <v>0.33023763998907402</v>
      </c>
      <c r="M74" s="168">
        <f t="shared" si="11"/>
        <v>22.58868904109589</v>
      </c>
      <c r="N74" s="169">
        <f t="shared" si="12"/>
        <v>9.7745996778333648</v>
      </c>
      <c r="O74" s="170">
        <f t="shared" si="13"/>
        <v>0</v>
      </c>
      <c r="P74" s="171">
        <f t="shared" si="14"/>
        <v>0</v>
      </c>
      <c r="Q74" s="172">
        <f t="shared" si="15"/>
        <v>0</v>
      </c>
      <c r="R74" s="161">
        <f t="shared" si="6"/>
        <v>28.72711141491396</v>
      </c>
      <c r="S74" s="157">
        <f t="shared" si="7"/>
        <v>11.512942000000001</v>
      </c>
      <c r="T74" s="157">
        <f t="shared" si="16"/>
        <v>64.90570713819838</v>
      </c>
      <c r="U74" s="157">
        <f t="shared" si="17"/>
        <v>6.4905707138198387</v>
      </c>
      <c r="V74" s="159">
        <f t="shared" si="8"/>
        <v>0.85666666666666658</v>
      </c>
      <c r="W74" s="159">
        <f t="shared" si="18"/>
        <v>72.252944518684885</v>
      </c>
      <c r="X74" s="162">
        <f t="shared" si="9"/>
        <v>-4.739692006555642</v>
      </c>
      <c r="Y74" s="208">
        <f t="shared" si="19"/>
        <v>67.513252512129242</v>
      </c>
    </row>
    <row r="75" spans="2:62" ht="45" customHeight="1" thickBot="1">
      <c r="B75" s="348" t="str">
        <f>'L''Acqua AQP'!B29:C29</f>
        <v>Utente 22</v>
      </c>
      <c r="C75" s="349"/>
      <c r="D75" s="225">
        <v>467</v>
      </c>
      <c r="E75" s="225">
        <v>481</v>
      </c>
      <c r="F75" s="228" t="s">
        <v>140</v>
      </c>
      <c r="G75" s="151">
        <f t="shared" si="20"/>
        <v>14</v>
      </c>
      <c r="H75" s="151">
        <v>3</v>
      </c>
      <c r="I75" s="152">
        <f t="shared" si="21"/>
        <v>17.4263862332696</v>
      </c>
      <c r="J75" s="153">
        <f t="shared" si="10"/>
        <v>3.4263862332696</v>
      </c>
      <c r="K75" s="154">
        <f t="shared" si="4"/>
        <v>2.4280811931166357</v>
      </c>
      <c r="L75" s="154">
        <f t="shared" si="5"/>
        <v>0.17782026768642448</v>
      </c>
      <c r="M75" s="168">
        <f t="shared" si="11"/>
        <v>17.4263862332696</v>
      </c>
      <c r="N75" s="169">
        <f t="shared" si="12"/>
        <v>0</v>
      </c>
      <c r="O75" s="170">
        <f t="shared" si="13"/>
        <v>0</v>
      </c>
      <c r="P75" s="171">
        <f t="shared" si="14"/>
        <v>0</v>
      </c>
      <c r="Q75" s="172">
        <f t="shared" si="15"/>
        <v>0</v>
      </c>
      <c r="R75" s="161">
        <f t="shared" si="6"/>
        <v>15.468444608030595</v>
      </c>
      <c r="S75" s="157">
        <f t="shared" si="7"/>
        <v>11.512942000000001</v>
      </c>
      <c r="T75" s="157">
        <f t="shared" si="16"/>
        <v>39.330455801147231</v>
      </c>
      <c r="U75" s="157">
        <f t="shared" si="17"/>
        <v>3.9330455801147228</v>
      </c>
      <c r="V75" s="159">
        <f t="shared" si="8"/>
        <v>0.85666666666666658</v>
      </c>
      <c r="W75" s="159">
        <f t="shared" si="18"/>
        <v>44.120168047928622</v>
      </c>
      <c r="X75" s="162">
        <f t="shared" si="9"/>
        <v>-2.5521418496838075</v>
      </c>
      <c r="Y75" s="208">
        <f t="shared" si="19"/>
        <v>41.568026198244816</v>
      </c>
    </row>
    <row r="76" spans="2:62" ht="45" customHeight="1" thickBot="1">
      <c r="B76" s="348" t="str">
        <f>'L''Acqua AQP'!B30:C30</f>
        <v>Utente 23</v>
      </c>
      <c r="C76" s="349"/>
      <c r="D76" s="226">
        <v>3527</v>
      </c>
      <c r="E76" s="226">
        <v>3564</v>
      </c>
      <c r="F76" s="228" t="s">
        <v>141</v>
      </c>
      <c r="G76" s="151">
        <f t="shared" si="20"/>
        <v>37</v>
      </c>
      <c r="H76" s="151">
        <v>3</v>
      </c>
      <c r="I76" s="152">
        <f t="shared" si="21"/>
        <v>46.055449330783937</v>
      </c>
      <c r="J76" s="153">
        <f t="shared" si="10"/>
        <v>9.0554493307839365</v>
      </c>
      <c r="K76" s="154">
        <f t="shared" si="4"/>
        <v>6.4170717246653899</v>
      </c>
      <c r="L76" s="154">
        <f t="shared" si="5"/>
        <v>0.46995356459983606</v>
      </c>
      <c r="M76" s="168">
        <f t="shared" si="11"/>
        <v>22.58868904109589</v>
      </c>
      <c r="N76" s="169">
        <f t="shared" si="12"/>
        <v>19.934794520547946</v>
      </c>
      <c r="O76" s="170">
        <f t="shared" si="13"/>
        <v>3.5319657691401005</v>
      </c>
      <c r="P76" s="171">
        <f t="shared" si="14"/>
        <v>0</v>
      </c>
      <c r="Q76" s="172">
        <f t="shared" si="15"/>
        <v>0</v>
      </c>
      <c r="R76" s="161">
        <f t="shared" si="6"/>
        <v>40.880889321223705</v>
      </c>
      <c r="S76" s="157">
        <f t="shared" si="7"/>
        <v>11.512942000000001</v>
      </c>
      <c r="T76" s="157">
        <f t="shared" si="16"/>
        <v>91.518864340975767</v>
      </c>
      <c r="U76" s="157">
        <f t="shared" si="17"/>
        <v>9.1518864340975767</v>
      </c>
      <c r="V76" s="159">
        <f t="shared" si="8"/>
        <v>0.85666666666666658</v>
      </c>
      <c r="W76" s="159">
        <f t="shared" si="18"/>
        <v>101.52741744174001</v>
      </c>
      <c r="X76" s="162">
        <f t="shared" si="9"/>
        <v>-6.7449463170214914</v>
      </c>
      <c r="Y76" s="208">
        <f t="shared" si="19"/>
        <v>94.782471124718526</v>
      </c>
    </row>
    <row r="77" spans="2:62" ht="45" customHeight="1" thickBot="1">
      <c r="B77" s="348" t="str">
        <f>'L''Acqua AQP'!B31:C31</f>
        <v>Utente 24</v>
      </c>
      <c r="C77" s="349"/>
      <c r="D77" s="225">
        <v>3222</v>
      </c>
      <c r="E77" s="225">
        <v>3243</v>
      </c>
      <c r="F77" s="228" t="s">
        <v>141</v>
      </c>
      <c r="G77" s="151">
        <f t="shared" si="20"/>
        <v>21</v>
      </c>
      <c r="H77" s="151">
        <v>3</v>
      </c>
      <c r="I77" s="152">
        <f t="shared" si="21"/>
        <v>26.139579349904395</v>
      </c>
      <c r="J77" s="153">
        <f t="shared" si="10"/>
        <v>5.1395793499043947</v>
      </c>
      <c r="K77" s="154">
        <f t="shared" si="4"/>
        <v>3.6421217896749498</v>
      </c>
      <c r="L77" s="154">
        <f t="shared" si="5"/>
        <v>0.26673040152963667</v>
      </c>
      <c r="M77" s="168">
        <f t="shared" si="11"/>
        <v>22.58868904109589</v>
      </c>
      <c r="N77" s="169">
        <f t="shared" si="12"/>
        <v>3.5508903088085049</v>
      </c>
      <c r="O77" s="170">
        <f t="shared" si="13"/>
        <v>0</v>
      </c>
      <c r="P77" s="171">
        <f t="shared" si="14"/>
        <v>0</v>
      </c>
      <c r="Q77" s="172">
        <f t="shared" si="15"/>
        <v>0</v>
      </c>
      <c r="R77" s="161">
        <f t="shared" si="6"/>
        <v>23.202666912045888</v>
      </c>
      <c r="S77" s="157">
        <f t="shared" si="7"/>
        <v>11.512942000000001</v>
      </c>
      <c r="T77" s="157">
        <f t="shared" si="16"/>
        <v>53.868288428829352</v>
      </c>
      <c r="U77" s="157">
        <f t="shared" si="17"/>
        <v>5.3868288428829354</v>
      </c>
      <c r="V77" s="159">
        <f t="shared" si="8"/>
        <v>0.85666666666666658</v>
      </c>
      <c r="W77" s="159">
        <f t="shared" si="18"/>
        <v>60.111783938378956</v>
      </c>
      <c r="X77" s="162">
        <f t="shared" si="9"/>
        <v>-3.8282127745257113</v>
      </c>
      <c r="Y77" s="208">
        <f t="shared" si="19"/>
        <v>56.283571163853246</v>
      </c>
    </row>
    <row r="78" spans="2:62" ht="45" customHeight="1" thickBot="1">
      <c r="B78" s="348" t="str">
        <f>'L''Acqua AQP'!B32:C32</f>
        <v>Utente 25</v>
      </c>
      <c r="C78" s="349"/>
      <c r="D78" s="226">
        <v>2120</v>
      </c>
      <c r="E78" s="226">
        <v>2129</v>
      </c>
      <c r="F78" s="228" t="s">
        <v>142</v>
      </c>
      <c r="G78" s="151">
        <f t="shared" si="20"/>
        <v>9</v>
      </c>
      <c r="H78" s="151">
        <v>3</v>
      </c>
      <c r="I78" s="152">
        <f t="shared" si="21"/>
        <v>11.202676864244742</v>
      </c>
      <c r="J78" s="153">
        <f t="shared" si="10"/>
        <v>2.2026768642447419</v>
      </c>
      <c r="K78" s="154">
        <f t="shared" si="4"/>
        <v>1.5609093384321224</v>
      </c>
      <c r="L78" s="154">
        <f t="shared" si="5"/>
        <v>0.11431302922698716</v>
      </c>
      <c r="M78" s="168">
        <f t="shared" si="11"/>
        <v>11.202676864244742</v>
      </c>
      <c r="N78" s="169">
        <f t="shared" si="12"/>
        <v>0</v>
      </c>
      <c r="O78" s="170">
        <f t="shared" si="13"/>
        <v>0</v>
      </c>
      <c r="P78" s="171">
        <f t="shared" si="14"/>
        <v>0</v>
      </c>
      <c r="Q78" s="172">
        <f t="shared" si="15"/>
        <v>0</v>
      </c>
      <c r="R78" s="161">
        <f t="shared" si="6"/>
        <v>9.9440001051625249</v>
      </c>
      <c r="S78" s="157">
        <f t="shared" si="7"/>
        <v>11.512942000000001</v>
      </c>
      <c r="T78" s="157">
        <f t="shared" si="16"/>
        <v>29.39562944359465</v>
      </c>
      <c r="U78" s="157">
        <f t="shared" si="17"/>
        <v>2.9395629443594653</v>
      </c>
      <c r="V78" s="159">
        <f t="shared" si="8"/>
        <v>0.85666666666666658</v>
      </c>
      <c r="W78" s="159">
        <f t="shared" si="18"/>
        <v>33.191859054620785</v>
      </c>
      <c r="X78" s="162">
        <f t="shared" si="9"/>
        <v>-1.6406626176538763</v>
      </c>
      <c r="Y78" s="208">
        <f t="shared" si="19"/>
        <v>31.551196436966908</v>
      </c>
    </row>
    <row r="79" spans="2:62" ht="45" customHeight="1" thickBot="1">
      <c r="B79" s="348" t="str">
        <f>'L''Acqua AQP'!B33:C33</f>
        <v>Utente 26</v>
      </c>
      <c r="C79" s="349"/>
      <c r="D79" s="225">
        <v>3425</v>
      </c>
      <c r="E79" s="225">
        <v>3462</v>
      </c>
      <c r="F79" s="228" t="s">
        <v>142</v>
      </c>
      <c r="G79" s="151">
        <f t="shared" si="20"/>
        <v>37</v>
      </c>
      <c r="H79" s="151">
        <v>3</v>
      </c>
      <c r="I79" s="152">
        <f t="shared" si="21"/>
        <v>46.055449330783937</v>
      </c>
      <c r="J79" s="153">
        <f t="shared" si="10"/>
        <v>9.0554493307839365</v>
      </c>
      <c r="K79" s="154">
        <f t="shared" si="4"/>
        <v>6.4170717246653899</v>
      </c>
      <c r="L79" s="154">
        <f t="shared" si="5"/>
        <v>0.46995356459983606</v>
      </c>
      <c r="M79" s="168">
        <f t="shared" si="11"/>
        <v>22.58868904109589</v>
      </c>
      <c r="N79" s="169">
        <f t="shared" si="12"/>
        <v>19.934794520547946</v>
      </c>
      <c r="O79" s="170">
        <f t="shared" si="13"/>
        <v>3.5319657691401005</v>
      </c>
      <c r="P79" s="171">
        <f t="shared" si="14"/>
        <v>0</v>
      </c>
      <c r="Q79" s="172">
        <f t="shared" si="15"/>
        <v>0</v>
      </c>
      <c r="R79" s="161">
        <f t="shared" si="6"/>
        <v>40.880889321223705</v>
      </c>
      <c r="S79" s="157">
        <f t="shared" si="7"/>
        <v>11.512942000000001</v>
      </c>
      <c r="T79" s="157">
        <f t="shared" si="16"/>
        <v>91.518864340975767</v>
      </c>
      <c r="U79" s="157">
        <f t="shared" si="17"/>
        <v>9.1518864340975767</v>
      </c>
      <c r="V79" s="159">
        <f t="shared" si="8"/>
        <v>0.85666666666666658</v>
      </c>
      <c r="W79" s="159">
        <f t="shared" si="18"/>
        <v>101.52741744174001</v>
      </c>
      <c r="X79" s="162">
        <f t="shared" si="9"/>
        <v>-6.7449463170214914</v>
      </c>
      <c r="Y79" s="208">
        <f t="shared" si="19"/>
        <v>94.782471124718526</v>
      </c>
    </row>
    <row r="80" spans="2:62" ht="45" customHeight="1">
      <c r="B80" s="348" t="str">
        <f>'L''Acqua AQP'!B34:C34</f>
        <v>Utente 27</v>
      </c>
      <c r="C80" s="349"/>
      <c r="D80" s="226">
        <v>5043</v>
      </c>
      <c r="E80" s="226">
        <f>1638+3446</f>
        <v>5084</v>
      </c>
      <c r="F80" s="228" t="s">
        <v>143</v>
      </c>
      <c r="G80" s="151">
        <f t="shared" si="20"/>
        <v>41</v>
      </c>
      <c r="H80" s="151">
        <v>3</v>
      </c>
      <c r="I80" s="152">
        <f t="shared" si="21"/>
        <v>51.03441682600382</v>
      </c>
      <c r="J80" s="153">
        <f t="shared" si="10"/>
        <v>10.03441682600382</v>
      </c>
      <c r="K80" s="154">
        <f t="shared" si="4"/>
        <v>7.1108092084129995</v>
      </c>
      <c r="L80" s="154">
        <f t="shared" si="5"/>
        <v>0.52075935536738593</v>
      </c>
      <c r="M80" s="168">
        <f t="shared" si="11"/>
        <v>22.58868904109589</v>
      </c>
      <c r="N80" s="169">
        <f t="shared" si="12"/>
        <v>19.934794520547946</v>
      </c>
      <c r="O80" s="170">
        <f t="shared" si="13"/>
        <v>8.5109332643599842</v>
      </c>
      <c r="P80" s="171">
        <f t="shared" si="14"/>
        <v>0</v>
      </c>
      <c r="Q80" s="172">
        <f t="shared" si="15"/>
        <v>0</v>
      </c>
      <c r="R80" s="161">
        <f t="shared" si="6"/>
        <v>45.300444923518164</v>
      </c>
      <c r="S80" s="157">
        <f t="shared" si="7"/>
        <v>11.512942000000001</v>
      </c>
      <c r="T80" s="157">
        <f t="shared" si="16"/>
        <v>103.63454941172147</v>
      </c>
      <c r="U80" s="157">
        <f t="shared" si="17"/>
        <v>10.363454941172147</v>
      </c>
      <c r="V80" s="159">
        <f t="shared" si="8"/>
        <v>0.85666666666666658</v>
      </c>
      <c r="W80" s="159">
        <f t="shared" si="18"/>
        <v>114.85467101956029</v>
      </c>
      <c r="X80" s="162">
        <f t="shared" si="9"/>
        <v>-7.4741297026454365</v>
      </c>
      <c r="Y80" s="208">
        <f t="shared" si="19"/>
        <v>107.38054131691484</v>
      </c>
    </row>
    <row r="81" spans="2:25" ht="24" customHeight="1" thickBot="1">
      <c r="B81" s="334"/>
      <c r="C81" s="335"/>
      <c r="D81" s="106"/>
      <c r="E81" s="33"/>
      <c r="F81" s="33"/>
      <c r="G81" s="33"/>
      <c r="H81" s="33"/>
      <c r="I81" s="23"/>
      <c r="J81" s="90"/>
      <c r="K81" s="89"/>
      <c r="L81" s="89"/>
      <c r="M81" s="23"/>
      <c r="N81" s="23"/>
      <c r="O81" s="23"/>
      <c r="P81" s="23"/>
      <c r="Q81" s="23"/>
      <c r="R81" s="24"/>
      <c r="S81" s="34"/>
      <c r="T81" s="35"/>
      <c r="U81" s="127"/>
      <c r="V81" s="35"/>
      <c r="W81" s="35"/>
      <c r="X81" s="122"/>
      <c r="Y81" s="209"/>
    </row>
    <row r="82" spans="2:25" ht="18.75" customHeight="1" thickTop="1" thickBot="1">
      <c r="B82" s="336" t="s">
        <v>54</v>
      </c>
      <c r="C82" s="337"/>
      <c r="D82" s="195"/>
      <c r="E82" s="195"/>
      <c r="F82" s="195"/>
      <c r="G82" s="196"/>
      <c r="H82" s="196"/>
      <c r="I82" s="197"/>
      <c r="J82" s="198"/>
      <c r="K82" s="199"/>
      <c r="L82" s="199"/>
      <c r="M82" s="196"/>
      <c r="N82" s="196"/>
      <c r="O82" s="196"/>
      <c r="P82" s="196"/>
      <c r="Q82" s="196"/>
      <c r="R82" s="200"/>
      <c r="S82" s="196"/>
      <c r="T82" s="196"/>
      <c r="U82" s="196"/>
      <c r="V82" s="196"/>
      <c r="W82" s="476">
        <f>SUM(W54:W80)</f>
        <v>1611.1378555566325</v>
      </c>
      <c r="X82" s="338">
        <f>SUM(X54:X80)</f>
        <v>-95.340727670330793</v>
      </c>
      <c r="Y82" s="328">
        <f>SUM(Y54:Y80)</f>
        <v>1515.7971278863017</v>
      </c>
    </row>
    <row r="83" spans="2:25" ht="25.15" customHeight="1" thickBot="1">
      <c r="B83" s="330">
        <f>COUNTA(B54:C80)</f>
        <v>27</v>
      </c>
      <c r="C83" s="331"/>
      <c r="D83" s="332" t="s">
        <v>9</v>
      </c>
      <c r="E83" s="333"/>
      <c r="F83" s="203"/>
      <c r="G83" s="204">
        <f t="shared" ref="G83:R83" si="22">SUM(G54:G80)</f>
        <v>523</v>
      </c>
      <c r="H83" s="205"/>
      <c r="I83" s="201">
        <f t="shared" si="22"/>
        <v>651</v>
      </c>
      <c r="J83" s="201">
        <f t="shared" si="22"/>
        <v>128</v>
      </c>
      <c r="K83" s="202">
        <f>SUM(K54:K80)</f>
        <v>90.706175999999999</v>
      </c>
      <c r="L83" s="202"/>
      <c r="M83" s="201">
        <f t="shared" si="22"/>
        <v>387.0085980696195</v>
      </c>
      <c r="N83" s="201">
        <f t="shared" si="22"/>
        <v>193.00993236334108</v>
      </c>
      <c r="O83" s="201">
        <f t="shared" si="22"/>
        <v>70.981469567039454</v>
      </c>
      <c r="P83" s="201">
        <f t="shared" si="22"/>
        <v>0</v>
      </c>
      <c r="Q83" s="201">
        <f t="shared" si="22"/>
        <v>0</v>
      </c>
      <c r="R83" s="206">
        <f t="shared" si="22"/>
        <v>577.85689500000001</v>
      </c>
      <c r="S83" s="207">
        <f>SUM(S54:S80)</f>
        <v>310.84943400000009</v>
      </c>
      <c r="T83" s="207">
        <f>SUM(T54:T80)</f>
        <v>1443.6435050514842</v>
      </c>
      <c r="U83" s="207">
        <f>SUM(U54:U80)</f>
        <v>144.36435050514839</v>
      </c>
      <c r="V83" s="207">
        <f>SUM(V54:V80)</f>
        <v>23.129999999999995</v>
      </c>
      <c r="W83" s="477"/>
      <c r="X83" s="339"/>
      <c r="Y83" s="329"/>
    </row>
    <row r="84" spans="2:25">
      <c r="G84" s="17" t="s">
        <v>1</v>
      </c>
      <c r="H84" s="126"/>
      <c r="I84" s="17" t="s">
        <v>1</v>
      </c>
      <c r="J84" s="17" t="s">
        <v>1</v>
      </c>
      <c r="K84" s="17" t="s">
        <v>1</v>
      </c>
      <c r="L84" s="126"/>
      <c r="M84" s="17" t="s">
        <v>1</v>
      </c>
      <c r="N84" s="17" t="s">
        <v>1</v>
      </c>
      <c r="O84" s="17" t="s">
        <v>1</v>
      </c>
      <c r="P84" s="17" t="s">
        <v>1</v>
      </c>
      <c r="Q84" s="17" t="s">
        <v>1</v>
      </c>
      <c r="V84" s="108"/>
    </row>
    <row r="88" spans="2:25" ht="13.5" thickBot="1"/>
    <row r="89" spans="2:25" ht="24.75" customHeight="1" thickBot="1">
      <c r="E89" s="280" t="s">
        <v>92</v>
      </c>
      <c r="F89" s="281"/>
      <c r="G89" s="281"/>
      <c r="H89" s="281"/>
      <c r="I89" s="281"/>
      <c r="J89" s="113">
        <f>GiorniAqp</f>
        <v>98</v>
      </c>
      <c r="K89" s="282" t="s">
        <v>93</v>
      </c>
      <c r="L89" s="283"/>
      <c r="M89" s="283"/>
      <c r="N89" s="283"/>
      <c r="O89" s="283"/>
      <c r="P89" s="283"/>
      <c r="Q89" s="284"/>
      <c r="U89" s="125"/>
      <c r="V89" s="125"/>
      <c r="W89" s="125"/>
      <c r="X89" s="125"/>
    </row>
    <row r="90" spans="2:25" ht="24.75" customHeight="1" thickBot="1">
      <c r="E90" s="285" t="s">
        <v>94</v>
      </c>
      <c r="F90" s="286"/>
      <c r="G90" s="286"/>
      <c r="H90" s="286"/>
      <c r="I90" s="286"/>
      <c r="J90" s="287"/>
      <c r="K90" s="288" t="s">
        <v>95</v>
      </c>
      <c r="L90" s="289"/>
      <c r="M90" s="289"/>
      <c r="N90" s="289"/>
      <c r="O90" s="289"/>
      <c r="P90" s="289"/>
      <c r="Q90" s="290"/>
      <c r="U90" s="125"/>
      <c r="V90" s="125"/>
      <c r="W90" s="125"/>
      <c r="X90" s="125"/>
    </row>
    <row r="91" spans="2:25" ht="24.75" customHeight="1">
      <c r="E91" s="234" t="s">
        <v>96</v>
      </c>
      <c r="F91" s="235"/>
      <c r="G91" s="236">
        <f>J89*O91/365</f>
        <v>5.3698630136986303</v>
      </c>
      <c r="H91" s="237"/>
      <c r="I91" s="276" t="s">
        <v>97</v>
      </c>
      <c r="J91" s="277"/>
      <c r="K91" s="234" t="s">
        <v>98</v>
      </c>
      <c r="L91" s="238"/>
      <c r="M91" s="239">
        <v>0</v>
      </c>
      <c r="N91" s="240" t="s">
        <v>99</v>
      </c>
      <c r="O91" s="450">
        <v>20</v>
      </c>
      <c r="P91" s="451"/>
      <c r="Q91" s="241">
        <f>O91-M91</f>
        <v>20</v>
      </c>
      <c r="U91" s="125"/>
      <c r="V91" s="125"/>
      <c r="W91" s="125"/>
      <c r="X91" s="125"/>
    </row>
    <row r="92" spans="2:25" ht="24.75" customHeight="1" thickBot="1">
      <c r="E92" s="242" t="s">
        <v>96</v>
      </c>
      <c r="F92" s="243"/>
      <c r="G92" s="244">
        <f>J89*(O92-O91)/365</f>
        <v>2.6849315068493151</v>
      </c>
      <c r="H92" s="245"/>
      <c r="I92" s="278" t="s">
        <v>100</v>
      </c>
      <c r="J92" s="279"/>
      <c r="K92" s="246" t="s">
        <v>98</v>
      </c>
      <c r="L92" s="247"/>
      <c r="M92" s="248">
        <v>20.010000000000002</v>
      </c>
      <c r="N92" s="249" t="s">
        <v>99</v>
      </c>
      <c r="O92" s="452">
        <v>30</v>
      </c>
      <c r="P92" s="453"/>
      <c r="Q92" s="250">
        <f>O92-M92</f>
        <v>9.9899999999999984</v>
      </c>
      <c r="U92" s="125"/>
      <c r="V92" s="125"/>
      <c r="W92" s="125"/>
      <c r="X92" s="125"/>
    </row>
    <row r="93" spans="2:25" ht="24.75" customHeight="1">
      <c r="E93" s="234" t="s">
        <v>96</v>
      </c>
      <c r="F93" s="235"/>
      <c r="G93" s="236">
        <f>J89*(O93-O92)/365</f>
        <v>2.6849315068493151</v>
      </c>
      <c r="H93" s="237"/>
      <c r="I93" s="276" t="s">
        <v>101</v>
      </c>
      <c r="J93" s="277"/>
      <c r="K93" s="234" t="s">
        <v>98</v>
      </c>
      <c r="L93" s="238"/>
      <c r="M93" s="487">
        <v>30.01</v>
      </c>
      <c r="N93" s="240" t="s">
        <v>99</v>
      </c>
      <c r="O93" s="450">
        <v>40</v>
      </c>
      <c r="P93" s="451"/>
      <c r="Q93" s="241">
        <f>O93-M93</f>
        <v>9.9899999999999984</v>
      </c>
      <c r="U93" s="125"/>
      <c r="V93" s="125"/>
      <c r="W93" s="125"/>
      <c r="X93" s="125"/>
    </row>
    <row r="94" spans="2:25" ht="24.75" customHeight="1" thickBot="1">
      <c r="E94" s="242" t="s">
        <v>96</v>
      </c>
      <c r="F94" s="243"/>
      <c r="G94" s="244">
        <f>J89*(O94-O93)/365</f>
        <v>8.0547945205479454</v>
      </c>
      <c r="H94" s="245"/>
      <c r="I94" s="278" t="s">
        <v>102</v>
      </c>
      <c r="J94" s="279"/>
      <c r="K94" s="246" t="s">
        <v>98</v>
      </c>
      <c r="L94" s="247"/>
      <c r="M94" s="248">
        <v>40.01</v>
      </c>
      <c r="N94" s="249" t="s">
        <v>99</v>
      </c>
      <c r="O94" s="452">
        <v>70</v>
      </c>
      <c r="P94" s="453"/>
      <c r="Q94" s="250">
        <f>O94-M94</f>
        <v>29.990000000000002</v>
      </c>
      <c r="U94" s="125"/>
      <c r="V94" s="125"/>
      <c r="W94" s="125"/>
      <c r="X94" s="125"/>
    </row>
    <row r="95" spans="2:25" ht="24.75" customHeight="1">
      <c r="E95" s="234" t="s">
        <v>96</v>
      </c>
      <c r="F95" s="235"/>
      <c r="G95" s="236" t="s">
        <v>65</v>
      </c>
      <c r="H95" s="237"/>
      <c r="I95" s="276" t="s">
        <v>103</v>
      </c>
      <c r="J95" s="277"/>
      <c r="K95" s="234" t="s">
        <v>99</v>
      </c>
      <c r="L95" s="238"/>
      <c r="M95" s="487">
        <v>70.010000000000005</v>
      </c>
      <c r="N95" s="240" t="s">
        <v>99</v>
      </c>
      <c r="O95" s="450" t="s">
        <v>65</v>
      </c>
      <c r="P95" s="451"/>
      <c r="Q95" s="241" t="s">
        <v>65</v>
      </c>
      <c r="U95" s="125"/>
      <c r="V95" s="125"/>
      <c r="W95" s="125"/>
      <c r="X95" s="125"/>
    </row>
    <row r="96" spans="2:25" ht="24.75" customHeight="1">
      <c r="E96" s="187">
        <v>365</v>
      </c>
      <c r="U96" s="125"/>
      <c r="V96" s="125"/>
      <c r="W96" s="125"/>
      <c r="X96" s="125"/>
    </row>
    <row r="97" spans="8:25" ht="24.75" customHeight="1">
      <c r="U97" s="125"/>
      <c r="V97" s="125"/>
      <c r="W97" s="125"/>
      <c r="X97" s="125"/>
    </row>
    <row r="98" spans="8:25" ht="24.75" customHeight="1">
      <c r="I98" s="125"/>
      <c r="J98" s="125"/>
      <c r="K98" s="125"/>
      <c r="M98" s="125"/>
      <c r="N98" s="275" t="s">
        <v>122</v>
      </c>
      <c r="U98" s="125"/>
      <c r="V98" s="125"/>
      <c r="W98" s="125"/>
      <c r="X98" s="125"/>
    </row>
    <row r="99" spans="8:25" ht="24.75" customHeight="1">
      <c r="H99" s="298" t="s">
        <v>123</v>
      </c>
      <c r="I99" s="298"/>
      <c r="J99" s="298"/>
      <c r="K99" s="298"/>
      <c r="L99" s="299"/>
      <c r="M99" s="125"/>
      <c r="N99" s="275"/>
      <c r="U99" s="125"/>
      <c r="V99" s="125"/>
      <c r="W99" s="125"/>
      <c r="X99" s="125"/>
    </row>
    <row r="100" spans="8:25" ht="12.75" customHeight="1">
      <c r="H100" s="298"/>
      <c r="I100" s="298"/>
      <c r="J100" s="298"/>
      <c r="K100" s="298"/>
      <c r="L100" s="299"/>
      <c r="M100" s="125"/>
      <c r="N100" s="275"/>
    </row>
    <row r="101" spans="8:25">
      <c r="I101" s="125"/>
      <c r="J101" s="125"/>
      <c r="K101" s="125"/>
      <c r="M101" s="125"/>
      <c r="N101" s="275"/>
      <c r="U101" s="125"/>
      <c r="V101" s="125"/>
      <c r="W101" s="125"/>
    </row>
    <row r="102" spans="8:25" ht="14.25" customHeight="1">
      <c r="H102" s="173">
        <f>(K102/E$96)*$J$89</f>
        <v>5.3698630136986303</v>
      </c>
      <c r="I102" s="174">
        <v>0</v>
      </c>
      <c r="J102" s="175">
        <v>20</v>
      </c>
      <c r="K102" s="174">
        <f>J102-I102</f>
        <v>20</v>
      </c>
      <c r="L102" s="173">
        <f>(K102/E$96)*$J$89+M102</f>
        <v>7.5295630136986302</v>
      </c>
      <c r="M102" s="176">
        <v>2.1597</v>
      </c>
      <c r="N102" s="177">
        <f>M83</f>
        <v>387.0085980696195</v>
      </c>
      <c r="U102" s="125"/>
      <c r="V102" s="125"/>
      <c r="W102" s="125"/>
      <c r="X102" s="115"/>
    </row>
    <row r="103" spans="8:25" ht="14.25" customHeight="1">
      <c r="H103" s="173">
        <f t="shared" ref="H103:H105" si="23">(K103/E$96)*$J$89</f>
        <v>2.6849315068493151</v>
      </c>
      <c r="I103" s="174">
        <v>20</v>
      </c>
      <c r="J103" s="175">
        <v>30</v>
      </c>
      <c r="K103" s="174">
        <f>J103-I103</f>
        <v>10</v>
      </c>
      <c r="L103" s="173">
        <f t="shared" ref="L103:L105" si="24">(K103/E$96)*$J$89+M103</f>
        <v>6.6449315068493151</v>
      </c>
      <c r="M103" s="178">
        <v>3.96</v>
      </c>
      <c r="N103" s="177">
        <f>N83</f>
        <v>193.00993236334108</v>
      </c>
      <c r="U103" s="125"/>
      <c r="V103" s="125"/>
      <c r="W103" s="125"/>
      <c r="X103" s="115"/>
    </row>
    <row r="104" spans="8:25" ht="12.75" customHeight="1">
      <c r="H104" s="173">
        <f t="shared" si="23"/>
        <v>2.6849315068493151</v>
      </c>
      <c r="I104" s="174">
        <v>30</v>
      </c>
      <c r="J104" s="175">
        <v>40</v>
      </c>
      <c r="K104" s="174">
        <f>J104-I104</f>
        <v>10</v>
      </c>
      <c r="L104" s="173">
        <f t="shared" si="24"/>
        <v>12.034931506849315</v>
      </c>
      <c r="M104" s="179">
        <v>9.35</v>
      </c>
      <c r="N104" s="180">
        <f>O83</f>
        <v>70.981469567039454</v>
      </c>
      <c r="U104" s="125"/>
      <c r="V104" s="125"/>
      <c r="W104" s="125"/>
      <c r="X104" s="115"/>
    </row>
    <row r="105" spans="8:25" ht="18">
      <c r="H105" s="173">
        <f t="shared" si="23"/>
        <v>8.0547945205479454</v>
      </c>
      <c r="I105" s="174">
        <v>40</v>
      </c>
      <c r="J105" s="175">
        <v>70</v>
      </c>
      <c r="K105" s="174">
        <f>J105-I105</f>
        <v>30</v>
      </c>
      <c r="L105" s="173">
        <f t="shared" si="24"/>
        <v>8.0547945205479454</v>
      </c>
      <c r="M105" s="179">
        <v>0</v>
      </c>
      <c r="N105" s="180">
        <f>P83</f>
        <v>0</v>
      </c>
      <c r="U105" s="125"/>
      <c r="V105" s="125"/>
      <c r="W105" s="125"/>
      <c r="X105" s="116"/>
    </row>
    <row r="106" spans="8:25" ht="18">
      <c r="H106" s="173" t="s">
        <v>127</v>
      </c>
      <c r="I106" s="174">
        <v>70</v>
      </c>
      <c r="J106" s="181" t="s">
        <v>124</v>
      </c>
      <c r="K106" s="182" t="s">
        <v>124</v>
      </c>
      <c r="L106" s="173" t="s">
        <v>65</v>
      </c>
      <c r="M106" s="183" t="s">
        <v>124</v>
      </c>
      <c r="N106" s="180">
        <f>Q83</f>
        <v>0</v>
      </c>
    </row>
    <row r="107" spans="8:25" ht="18">
      <c r="H107" s="184">
        <f>Q35</f>
        <v>1515.7971278863017</v>
      </c>
      <c r="I107" s="185" t="s">
        <v>125</v>
      </c>
      <c r="J107" s="188">
        <f>W82</f>
        <v>1611.1378555566325</v>
      </c>
      <c r="K107" s="185" t="s">
        <v>126</v>
      </c>
      <c r="L107" s="186">
        <f>H107-J107</f>
        <v>-95.340727670330807</v>
      </c>
      <c r="M107" s="61"/>
      <c r="N107" s="177">
        <f>SUM(N102:N106)</f>
        <v>651</v>
      </c>
    </row>
    <row r="110" spans="8:25">
      <c r="H110" s="271" t="s">
        <v>128</v>
      </c>
      <c r="I110" s="271"/>
      <c r="J110" s="271"/>
      <c r="K110" s="271"/>
      <c r="L110" s="271"/>
      <c r="M110" s="125"/>
      <c r="N110" s="125"/>
      <c r="O110" s="125"/>
      <c r="P110" s="125"/>
    </row>
    <row r="111" spans="8:25">
      <c r="H111" s="272"/>
      <c r="I111" s="272"/>
      <c r="J111" s="272"/>
      <c r="K111" s="272"/>
      <c r="L111" s="272"/>
      <c r="M111" s="125"/>
      <c r="N111" s="125"/>
      <c r="O111" s="125"/>
      <c r="P111" s="125"/>
    </row>
    <row r="112" spans="8:25" ht="18">
      <c r="H112" s="174">
        <f>$U$9</f>
        <v>24</v>
      </c>
      <c r="I112" s="175">
        <f>O91</f>
        <v>20</v>
      </c>
      <c r="J112" s="174">
        <f>H52</f>
        <v>3</v>
      </c>
      <c r="K112" s="189">
        <f>J89</f>
        <v>98</v>
      </c>
      <c r="L112" s="190">
        <f>E96</f>
        <v>365</v>
      </c>
      <c r="M112" s="125"/>
      <c r="N112" s="191">
        <f>H112*I112*J112*K112/L112</f>
        <v>386.63013698630135</v>
      </c>
      <c r="O112" s="273" t="s">
        <v>129</v>
      </c>
      <c r="P112" s="273"/>
      <c r="R112" s="61"/>
      <c r="S112" s="61"/>
      <c r="T112" s="480" t="s">
        <v>87</v>
      </c>
      <c r="U112" s="482"/>
      <c r="V112" s="482"/>
      <c r="W112" s="482"/>
      <c r="X112" s="482"/>
      <c r="Y112" s="125"/>
    </row>
    <row r="113" spans="8:25" ht="18">
      <c r="H113" s="174">
        <f>$U$9</f>
        <v>24</v>
      </c>
      <c r="I113" s="175">
        <f>O92</f>
        <v>30</v>
      </c>
      <c r="J113" s="174"/>
      <c r="K113" s="189">
        <f>J89</f>
        <v>98</v>
      </c>
      <c r="L113" s="190">
        <f>E96</f>
        <v>365</v>
      </c>
      <c r="M113" s="125"/>
      <c r="N113" s="191">
        <f>H113*I113*K113/L113</f>
        <v>193.31506849315068</v>
      </c>
      <c r="O113" s="273" t="s">
        <v>57</v>
      </c>
      <c r="P113" s="273"/>
      <c r="R113" s="480" t="s">
        <v>55</v>
      </c>
      <c r="S113" s="481"/>
      <c r="T113" s="61"/>
      <c r="U113" s="61"/>
      <c r="V113" s="62" t="s">
        <v>56</v>
      </c>
      <c r="W113" s="13" t="s">
        <v>24</v>
      </c>
      <c r="X113" s="61"/>
      <c r="Y113" s="61"/>
    </row>
    <row r="114" spans="8:25" ht="18.75" thickBot="1">
      <c r="H114" s="174"/>
      <c r="I114" s="175"/>
      <c r="J114" s="174"/>
      <c r="K114" s="189"/>
      <c r="L114" s="190"/>
      <c r="M114" s="125"/>
      <c r="N114" s="191">
        <f>M116-N112-N113</f>
        <v>71.054794520547972</v>
      </c>
      <c r="O114" s="273" t="s">
        <v>130</v>
      </c>
      <c r="P114" s="273"/>
      <c r="R114" s="63"/>
      <c r="S114" s="63"/>
      <c r="T114" s="61"/>
      <c r="U114" s="389" t="e">
        <f>60000/$AZ$11</f>
        <v>#DIV/0!</v>
      </c>
      <c r="V114" s="387" t="e">
        <f>+$AZ$11*U114/1000</f>
        <v>#DIV/0!</v>
      </c>
      <c r="W114" s="374">
        <f>U116</f>
        <v>0</v>
      </c>
      <c r="X114" s="346" t="s">
        <v>58</v>
      </c>
      <c r="Y114" s="61"/>
    </row>
    <row r="115" spans="8:25" ht="19.5" thickTop="1" thickBot="1">
      <c r="H115" s="174"/>
      <c r="I115" s="175"/>
      <c r="J115" s="174"/>
      <c r="K115" s="189"/>
      <c r="L115" s="190"/>
      <c r="M115" s="125"/>
      <c r="N115" s="125"/>
      <c r="O115" s="273"/>
      <c r="P115" s="273"/>
      <c r="R115" s="64" t="s">
        <v>174</v>
      </c>
      <c r="S115" s="65">
        <f>60000/365</f>
        <v>164.38356164383561</v>
      </c>
      <c r="T115" s="61"/>
      <c r="U115" s="390"/>
      <c r="V115" s="388"/>
      <c r="W115" s="375"/>
      <c r="X115" s="347"/>
      <c r="Y115" s="61"/>
    </row>
    <row r="116" spans="8:25" ht="19.5" thickTop="1" thickBot="1">
      <c r="H116" s="192"/>
      <c r="I116" s="192"/>
      <c r="J116" s="192"/>
      <c r="K116" s="193"/>
      <c r="L116" s="193"/>
      <c r="M116" s="194">
        <f>ConsumoAqp</f>
        <v>651</v>
      </c>
      <c r="N116" s="125"/>
      <c r="O116" s="125"/>
      <c r="P116" s="125"/>
      <c r="R116" s="64"/>
      <c r="S116" s="65"/>
      <c r="T116" s="66"/>
      <c r="U116" s="79">
        <f>$AZ$11*$AX$25/1000</f>
        <v>0</v>
      </c>
      <c r="V116" s="80">
        <f>$AZ$11*$AY$25/1000</f>
        <v>0</v>
      </c>
      <c r="W116" s="374">
        <f>+V116-U116</f>
        <v>0</v>
      </c>
      <c r="X116" s="346" t="s">
        <v>59</v>
      </c>
      <c r="Y116" s="61"/>
    </row>
    <row r="117" spans="8:25" ht="17.25" thickTop="1" thickBot="1">
      <c r="H117" s="91" t="s">
        <v>131</v>
      </c>
      <c r="I117" s="31" t="s">
        <v>132</v>
      </c>
      <c r="J117" s="31" t="s">
        <v>133</v>
      </c>
      <c r="K117" s="31" t="s">
        <v>134</v>
      </c>
      <c r="L117" s="91" t="s">
        <v>135</v>
      </c>
      <c r="M117" s="31" t="s">
        <v>136</v>
      </c>
      <c r="N117" s="191">
        <f>SUM(N112:N114)</f>
        <v>651</v>
      </c>
      <c r="O117" s="273" t="s">
        <v>137</v>
      </c>
      <c r="P117" s="273"/>
      <c r="R117" s="64" t="s">
        <v>175</v>
      </c>
      <c r="S117" s="65">
        <f>90000/365</f>
        <v>246.57534246575344</v>
      </c>
      <c r="T117" s="66" t="s">
        <v>57</v>
      </c>
      <c r="U117" s="67">
        <f>60.01*164.3635/60</f>
        <v>164.39089391666664</v>
      </c>
      <c r="V117" s="93">
        <f>112000/365</f>
        <v>306.84931506849313</v>
      </c>
      <c r="W117" s="375"/>
      <c r="X117" s="347"/>
      <c r="Y117" s="61"/>
    </row>
    <row r="118" spans="8:25" ht="16.5" thickTop="1" thickBot="1">
      <c r="I118" s="125"/>
      <c r="J118" s="125"/>
      <c r="K118" s="125"/>
      <c r="M118" s="125"/>
      <c r="N118" s="125"/>
      <c r="O118" s="125"/>
      <c r="P118" s="125"/>
      <c r="R118" s="64"/>
      <c r="S118" s="65"/>
      <c r="T118" s="68"/>
      <c r="U118" s="79">
        <f>$AZ$11*$AX$27/1000</f>
        <v>0</v>
      </c>
      <c r="V118" s="80">
        <f>$AZ$11*$AY$27/1000</f>
        <v>0</v>
      </c>
      <c r="W118" s="374">
        <f>+V118-U118</f>
        <v>0</v>
      </c>
      <c r="X118" s="346" t="s">
        <v>60</v>
      </c>
      <c r="Y118" s="61"/>
    </row>
    <row r="119" spans="8:25" ht="20.25" thickTop="1" thickBot="1">
      <c r="H119" s="274" t="s">
        <v>138</v>
      </c>
      <c r="I119" s="274"/>
      <c r="J119" s="274"/>
      <c r="K119" s="274"/>
      <c r="L119" s="274"/>
      <c r="M119" s="274"/>
      <c r="N119" s="274"/>
      <c r="O119" s="125"/>
      <c r="P119" s="125"/>
      <c r="R119" s="64" t="s">
        <v>176</v>
      </c>
      <c r="S119" s="65">
        <f>120000/365</f>
        <v>328.76712328767121</v>
      </c>
      <c r="T119" s="68" t="s">
        <v>61</v>
      </c>
      <c r="U119" s="67">
        <f>112.01*306.852/112</f>
        <v>306.87939749999998</v>
      </c>
      <c r="V119" s="94">
        <f>148000/365</f>
        <v>405.47945205479454</v>
      </c>
      <c r="W119" s="375"/>
      <c r="X119" s="347"/>
      <c r="Y119" s="61"/>
    </row>
    <row r="120" spans="8:25" ht="20.25" thickTop="1" thickBot="1">
      <c r="H120" s="274" t="s">
        <v>139</v>
      </c>
      <c r="I120" s="274"/>
      <c r="J120" s="274"/>
      <c r="K120" s="274"/>
      <c r="L120" s="274"/>
      <c r="M120" s="274"/>
      <c r="N120" s="274"/>
      <c r="O120" s="125"/>
      <c r="P120" s="125"/>
      <c r="R120" s="64"/>
      <c r="S120" s="65"/>
      <c r="T120" s="68"/>
      <c r="U120" s="79">
        <f>$AZ$11*$AX$29/1000</f>
        <v>0</v>
      </c>
      <c r="V120" s="80">
        <f>$AZ$11*$AY$29/1000</f>
        <v>0</v>
      </c>
      <c r="W120" s="374">
        <f>+V120-U120</f>
        <v>0</v>
      </c>
      <c r="X120" s="340" t="s">
        <v>62</v>
      </c>
      <c r="Y120" s="61"/>
    </row>
    <row r="121" spans="8:25" ht="16.5" thickTop="1" thickBot="1">
      <c r="R121" s="64" t="s">
        <v>177</v>
      </c>
      <c r="S121" s="69">
        <f>210000/365</f>
        <v>575.34246575342468</v>
      </c>
      <c r="T121" s="68" t="s">
        <v>63</v>
      </c>
      <c r="U121" s="67">
        <f>148.01*2.73972602739726</f>
        <v>405.50684931506845</v>
      </c>
      <c r="V121" s="93">
        <f>256000/365</f>
        <v>701.36986301369859</v>
      </c>
      <c r="W121" s="375"/>
      <c r="X121" s="341"/>
      <c r="Y121" s="61"/>
    </row>
    <row r="122" spans="8:25" ht="15.75" thickTop="1">
      <c r="R122" s="342" t="s">
        <v>178</v>
      </c>
      <c r="S122" s="478">
        <f>100000/365</f>
        <v>273.97260273972603</v>
      </c>
      <c r="T122" s="344" t="s">
        <v>64</v>
      </c>
      <c r="U122" s="454" t="s">
        <v>65</v>
      </c>
      <c r="V122" s="455">
        <f>$J$89*$V$97/1000</f>
        <v>0</v>
      </c>
      <c r="W122" s="384">
        <f>W120</f>
        <v>0</v>
      </c>
      <c r="X122" s="340" t="s">
        <v>66</v>
      </c>
      <c r="Y122" s="61"/>
    </row>
    <row r="123" spans="8:25" ht="15.75" thickBot="1">
      <c r="R123" s="343"/>
      <c r="S123" s="479"/>
      <c r="T123" s="344"/>
      <c r="U123" s="345"/>
      <c r="V123" s="455"/>
      <c r="W123" s="385"/>
      <c r="X123" s="341"/>
      <c r="Y123" s="61"/>
    </row>
    <row r="124" spans="8:25" ht="13.5" thickTop="1"/>
  </sheetData>
  <dataConsolidate/>
  <mergeCells count="226">
    <mergeCell ref="W120:W121"/>
    <mergeCell ref="X120:X121"/>
    <mergeCell ref="R122:R123"/>
    <mergeCell ref="S122:S123"/>
    <mergeCell ref="T122:T123"/>
    <mergeCell ref="U122:U123"/>
    <mergeCell ref="V122:V123"/>
    <mergeCell ref="W122:W123"/>
    <mergeCell ref="X122:X123"/>
    <mergeCell ref="R113:S113"/>
    <mergeCell ref="U114:U115"/>
    <mergeCell ref="V114:V115"/>
    <mergeCell ref="W114:W115"/>
    <mergeCell ref="X114:X115"/>
    <mergeCell ref="W116:W117"/>
    <mergeCell ref="X116:X117"/>
    <mergeCell ref="W118:W119"/>
    <mergeCell ref="X118:X119"/>
    <mergeCell ref="T112:X112"/>
    <mergeCell ref="E9:E10"/>
    <mergeCell ref="I9:J10"/>
    <mergeCell ref="C16:D16"/>
    <mergeCell ref="C17:D17"/>
    <mergeCell ref="C18:D18"/>
    <mergeCell ref="S18:S19"/>
    <mergeCell ref="C19:D19"/>
    <mergeCell ref="M19:N19"/>
    <mergeCell ref="R17:R20"/>
    <mergeCell ref="C20:D20"/>
    <mergeCell ref="S14:S15"/>
    <mergeCell ref="B75:C75"/>
    <mergeCell ref="B76:C76"/>
    <mergeCell ref="B74:C74"/>
    <mergeCell ref="U6:U8"/>
    <mergeCell ref="M16:N16"/>
    <mergeCell ref="S16:S17"/>
    <mergeCell ref="M17:N17"/>
    <mergeCell ref="M18:N18"/>
    <mergeCell ref="O91:P91"/>
    <mergeCell ref="O92:P92"/>
    <mergeCell ref="O93:P93"/>
    <mergeCell ref="O94:P94"/>
    <mergeCell ref="O95:P95"/>
    <mergeCell ref="S12:S13"/>
    <mergeCell ref="U14:U15"/>
    <mergeCell ref="S9:S11"/>
    <mergeCell ref="U11:U12"/>
    <mergeCell ref="X48:Y49"/>
    <mergeCell ref="T48:W49"/>
    <mergeCell ref="B48:S49"/>
    <mergeCell ref="W82:W83"/>
    <mergeCell ref="F7:G8"/>
    <mergeCell ref="F9:G10"/>
    <mergeCell ref="G1:Q1"/>
    <mergeCell ref="C2:C3"/>
    <mergeCell ref="R2:S3"/>
    <mergeCell ref="D4:I4"/>
    <mergeCell ref="N4:Q4"/>
    <mergeCell ref="D6:J6"/>
    <mergeCell ref="N6:Q6"/>
    <mergeCell ref="S6:S7"/>
    <mergeCell ref="I7:J7"/>
    <mergeCell ref="P7:P8"/>
    <mergeCell ref="I8:J8"/>
    <mergeCell ref="K6:K7"/>
    <mergeCell ref="O9:O10"/>
    <mergeCell ref="P9:P10"/>
    <mergeCell ref="Q9:Q10"/>
    <mergeCell ref="C9:C10"/>
    <mergeCell ref="D9:D10"/>
    <mergeCell ref="N9:N10"/>
    <mergeCell ref="M9:M10"/>
    <mergeCell ref="T2:U3"/>
    <mergeCell ref="R6:R10"/>
    <mergeCell ref="U9:U10"/>
    <mergeCell ref="R11:R16"/>
    <mergeCell ref="C23:D23"/>
    <mergeCell ref="M23:N23"/>
    <mergeCell ref="C22:D22"/>
    <mergeCell ref="M22:N22"/>
    <mergeCell ref="F23:G23"/>
    <mergeCell ref="F22:G22"/>
    <mergeCell ref="F21:G21"/>
    <mergeCell ref="S20:S21"/>
    <mergeCell ref="C21:D21"/>
    <mergeCell ref="M21:N21"/>
    <mergeCell ref="F20:G20"/>
    <mergeCell ref="H23:J23"/>
    <mergeCell ref="H22:J22"/>
    <mergeCell ref="H21:J21"/>
    <mergeCell ref="H20:J20"/>
    <mergeCell ref="C27:D27"/>
    <mergeCell ref="M27:N27"/>
    <mergeCell ref="C24:D24"/>
    <mergeCell ref="M24:N24"/>
    <mergeCell ref="C25:D25"/>
    <mergeCell ref="M25:N25"/>
    <mergeCell ref="C26:D26"/>
    <mergeCell ref="M26:N26"/>
    <mergeCell ref="F25:G25"/>
    <mergeCell ref="F24:G24"/>
    <mergeCell ref="F27:G27"/>
    <mergeCell ref="F26:G26"/>
    <mergeCell ref="H27:J27"/>
    <mergeCell ref="H26:J26"/>
    <mergeCell ref="H25:J25"/>
    <mergeCell ref="H24:J24"/>
    <mergeCell ref="C29:D29"/>
    <mergeCell ref="M29:N29"/>
    <mergeCell ref="K29:K31"/>
    <mergeCell ref="R29:R31"/>
    <mergeCell ref="C31:D31"/>
    <mergeCell ref="M31:N31"/>
    <mergeCell ref="C28:D28"/>
    <mergeCell ref="M28:N28"/>
    <mergeCell ref="C30:D30"/>
    <mergeCell ref="M30:N30"/>
    <mergeCell ref="F31:G31"/>
    <mergeCell ref="F30:G30"/>
    <mergeCell ref="F29:G29"/>
    <mergeCell ref="F28:G28"/>
    <mergeCell ref="H31:J31"/>
    <mergeCell ref="H30:J30"/>
    <mergeCell ref="H29:J29"/>
    <mergeCell ref="H28:J28"/>
    <mergeCell ref="E39:G40"/>
    <mergeCell ref="I39:J40"/>
    <mergeCell ref="O39:P40"/>
    <mergeCell ref="Q39:Q40"/>
    <mergeCell ref="E37:G38"/>
    <mergeCell ref="I37:J38"/>
    <mergeCell ref="O37:P38"/>
    <mergeCell ref="Q37:Q38"/>
    <mergeCell ref="E35:G36"/>
    <mergeCell ref="B56:C56"/>
    <mergeCell ref="B57:C57"/>
    <mergeCell ref="B50:C50"/>
    <mergeCell ref="D52:E52"/>
    <mergeCell ref="D53:E53"/>
    <mergeCell ref="B51:C53"/>
    <mergeCell ref="B59:C59"/>
    <mergeCell ref="B54:C54"/>
    <mergeCell ref="B55:C55"/>
    <mergeCell ref="V52:V53"/>
    <mergeCell ref="W52:W53"/>
    <mergeCell ref="Y52:Y53"/>
    <mergeCell ref="B61:C61"/>
    <mergeCell ref="B62:C62"/>
    <mergeCell ref="B63:C63"/>
    <mergeCell ref="B64:C64"/>
    <mergeCell ref="B60:C60"/>
    <mergeCell ref="B66:C66"/>
    <mergeCell ref="B67:C67"/>
    <mergeCell ref="Y82:Y83"/>
    <mergeCell ref="B83:C83"/>
    <mergeCell ref="D83:E83"/>
    <mergeCell ref="B77:C77"/>
    <mergeCell ref="B78:C78"/>
    <mergeCell ref="B79:C79"/>
    <mergeCell ref="B80:C80"/>
    <mergeCell ref="B81:C81"/>
    <mergeCell ref="B82:C82"/>
    <mergeCell ref="X82:X83"/>
    <mergeCell ref="F12:G12"/>
    <mergeCell ref="F11:G11"/>
    <mergeCell ref="B73:C73"/>
    <mergeCell ref="M35:N39"/>
    <mergeCell ref="O35:P36"/>
    <mergeCell ref="Q35:Q36"/>
    <mergeCell ref="O33:P33"/>
    <mergeCell ref="C32:D32"/>
    <mergeCell ref="M32:N32"/>
    <mergeCell ref="B65:C65"/>
    <mergeCell ref="B68:C68"/>
    <mergeCell ref="B69:C69"/>
    <mergeCell ref="B70:C70"/>
    <mergeCell ref="B58:C58"/>
    <mergeCell ref="C35:D39"/>
    <mergeCell ref="E33:G33"/>
    <mergeCell ref="G42:J42"/>
    <mergeCell ref="B41:C42"/>
    <mergeCell ref="H52:H53"/>
    <mergeCell ref="F32:G32"/>
    <mergeCell ref="B71:C71"/>
    <mergeCell ref="B72:C72"/>
    <mergeCell ref="H35:J36"/>
    <mergeCell ref="H34:J34"/>
    <mergeCell ref="H15:J15"/>
    <mergeCell ref="H14:J14"/>
    <mergeCell ref="H13:J13"/>
    <mergeCell ref="H120:N120"/>
    <mergeCell ref="H47:I47"/>
    <mergeCell ref="H99:L100"/>
    <mergeCell ref="F19:G19"/>
    <mergeCell ref="F18:G18"/>
    <mergeCell ref="F17:G17"/>
    <mergeCell ref="F16:G16"/>
    <mergeCell ref="F15:G15"/>
    <mergeCell ref="F14:G14"/>
    <mergeCell ref="F13:G13"/>
    <mergeCell ref="H33:J33"/>
    <mergeCell ref="H32:J32"/>
    <mergeCell ref="H12:J12"/>
    <mergeCell ref="H11:J11"/>
    <mergeCell ref="H110:L111"/>
    <mergeCell ref="O112:P112"/>
    <mergeCell ref="O113:P113"/>
    <mergeCell ref="O114:P114"/>
    <mergeCell ref="O115:P115"/>
    <mergeCell ref="O117:P117"/>
    <mergeCell ref="H119:N119"/>
    <mergeCell ref="N98:N101"/>
    <mergeCell ref="I93:J93"/>
    <mergeCell ref="I94:J94"/>
    <mergeCell ref="I95:J95"/>
    <mergeCell ref="E89:I89"/>
    <mergeCell ref="K89:Q89"/>
    <mergeCell ref="E90:J90"/>
    <mergeCell ref="K90:Q90"/>
    <mergeCell ref="I91:J91"/>
    <mergeCell ref="I92:J92"/>
    <mergeCell ref="M20:N20"/>
    <mergeCell ref="H19:J19"/>
    <mergeCell ref="H18:J18"/>
    <mergeCell ref="H17:J17"/>
    <mergeCell ref="H16:J16"/>
  </mergeCells>
  <conditionalFormatting sqref="D81:T81 R54:T80 G54:L80 B54:B80">
    <cfRule type="expression" dxfId="6" priority="20">
      <formula>(ROW()/2=INT(ROW()/2))</formula>
    </cfRule>
  </conditionalFormatting>
  <conditionalFormatting sqref="U54:V81">
    <cfRule type="expression" dxfId="5" priority="19">
      <formula>(ROW()/2=INT(ROW()/2))</formula>
    </cfRule>
  </conditionalFormatting>
  <conditionalFormatting sqref="W54:W81">
    <cfRule type="expression" dxfId="4" priority="18">
      <formula>(ROW()/2=INT(ROW()/2))</formula>
    </cfRule>
  </conditionalFormatting>
  <conditionalFormatting sqref="X54:Y81">
    <cfRule type="expression" dxfId="3" priority="17">
      <formula>(ROW()/2=INT(ROW()/2))</formula>
    </cfRule>
  </conditionalFormatting>
  <conditionalFormatting sqref="S16:S17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0:S2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:O14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{433ECF66-2EC4-4A60-AD55-8145DFE34902}</x14:id>
        </ext>
      </extLst>
    </cfRule>
  </conditionalFormatting>
  <conditionalFormatting sqref="O15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{6DE9203B-DA3A-4941-8A52-F3B29622A9D7}</x14:id>
        </ext>
      </extLst>
    </cfRule>
  </conditionalFormatting>
  <conditionalFormatting sqref="O13:O14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{89020EDC-7F53-48E2-A90D-F22490774269}</x14:id>
        </ext>
      </extLst>
    </cfRule>
  </conditionalFormatting>
  <conditionalFormatting sqref="O11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{42CD32D6-D5FE-4347-847E-6CDCE8C1DCB0}</x14:id>
        </ext>
      </extLst>
    </cfRule>
  </conditionalFormatting>
  <conditionalFormatting sqref="E12:E14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{C4EE5D26-56D5-4B3B-BDE9-1BEFA61B4739}</x14:id>
        </ext>
      </extLst>
    </cfRule>
  </conditionalFormatting>
  <conditionalFormatting sqref="E15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{A091D71D-524C-4F66-8B51-E68E54D4D590}</x14:id>
        </ext>
      </extLst>
    </cfRule>
  </conditionalFormatting>
  <conditionalFormatting sqref="E13:E14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{B03C6F3E-81D0-4826-858B-4A1B218EC003}</x14:id>
        </ext>
      </extLst>
    </cfRule>
  </conditionalFormatting>
  <conditionalFormatting sqref="E11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{3AAC5075-71E1-43BC-B9D8-967491ED50F6}</x14:id>
        </ext>
      </extLst>
    </cfRule>
  </conditionalFormatting>
  <conditionalFormatting sqref="V52:V53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{085E6C89-4E73-4EA6-8A41-A371C366A205}</x14:id>
        </ext>
      </extLst>
    </cfRule>
  </conditionalFormatting>
  <conditionalFormatting sqref="M54:Q80">
    <cfRule type="expression" dxfId="2" priority="3">
      <formula>(ROW()/2=INT(ROW()/2))</formula>
    </cfRule>
  </conditionalFormatting>
  <conditionalFormatting sqref="F56:F80">
    <cfRule type="expression" dxfId="1" priority="1">
      <formula>(ROW()/2=INT(ROW()/2))</formula>
    </cfRule>
  </conditionalFormatting>
  <conditionalFormatting sqref="F54:F55">
    <cfRule type="expression" dxfId="0" priority="2">
      <formula>(ROW()/2=INT(ROW()/2))</formula>
    </cfRule>
  </conditionalFormatting>
  <printOptions verticalCentered="1" gridLines="1" gridLinesSet="0"/>
  <pageMargins left="0" right="0" top="0" bottom="0" header="0" footer="0"/>
  <pageSetup paperSize="9" scale="38" orientation="landscape" r:id="rId1"/>
  <headerFooter alignWithMargins="0">
    <oddHeader>&amp;A</oddHeader>
    <oddFooter>Pagina &amp;P</oddFooter>
  </headerFooter>
  <ignoredErrors>
    <ignoredError sqref="I54:I80" formula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3ECF66-2EC4-4A60-AD55-8145DFE34902}">
            <x14:dataBar minLength="0" maxLength="100" negativeBarColorSameAsPositive="1" axisPosition="none">
              <x14:cfvo type="min"/>
              <x14:cfvo type="max"/>
            </x14:dataBar>
          </x14:cfRule>
          <xm:sqref>O12:O14</xm:sqref>
        </x14:conditionalFormatting>
        <x14:conditionalFormatting xmlns:xm="http://schemas.microsoft.com/office/excel/2006/main">
          <x14:cfRule type="dataBar" id="{6DE9203B-DA3A-4941-8A52-F3B29622A9D7}">
            <x14:dataBar minLength="0" maxLength="100" negativeBarColorSameAsPositive="1" axisPosition="none">
              <x14:cfvo type="min"/>
              <x14:cfvo type="max"/>
            </x14:dataBar>
          </x14:cfRule>
          <xm:sqref>O15</xm:sqref>
        </x14:conditionalFormatting>
        <x14:conditionalFormatting xmlns:xm="http://schemas.microsoft.com/office/excel/2006/main">
          <x14:cfRule type="dataBar" id="{89020EDC-7F53-48E2-A90D-F22490774269}">
            <x14:dataBar minLength="0" maxLength="100" negativeBarColorSameAsPositive="1" axisPosition="none">
              <x14:cfvo type="min"/>
              <x14:cfvo type="max"/>
            </x14:dataBar>
          </x14:cfRule>
          <xm:sqref>O13:O14</xm:sqref>
        </x14:conditionalFormatting>
        <x14:conditionalFormatting xmlns:xm="http://schemas.microsoft.com/office/excel/2006/main">
          <x14:cfRule type="dataBar" id="{42CD32D6-D5FE-4347-847E-6CDCE8C1DCB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O11</xm:sqref>
        </x14:conditionalFormatting>
        <x14:conditionalFormatting xmlns:xm="http://schemas.microsoft.com/office/excel/2006/main">
          <x14:cfRule type="dataBar" id="{C4EE5D26-56D5-4B3B-BDE9-1BEFA61B4739}">
            <x14:dataBar minLength="0" maxLength="100" negativeBarColorSameAsPositive="1" axisPosition="none">
              <x14:cfvo type="min"/>
              <x14:cfvo type="max"/>
            </x14:dataBar>
          </x14:cfRule>
          <xm:sqref>E12:E14</xm:sqref>
        </x14:conditionalFormatting>
        <x14:conditionalFormatting xmlns:xm="http://schemas.microsoft.com/office/excel/2006/main">
          <x14:cfRule type="dataBar" id="{A091D71D-524C-4F66-8B51-E68E54D4D590}">
            <x14:dataBar minLength="0" maxLength="100" negativeBarColorSameAsPositive="1" axisPosition="none">
              <x14:cfvo type="min"/>
              <x14:cfvo type="max"/>
            </x14:dataBar>
          </x14:cfRule>
          <xm:sqref>E15</xm:sqref>
        </x14:conditionalFormatting>
        <x14:conditionalFormatting xmlns:xm="http://schemas.microsoft.com/office/excel/2006/main">
          <x14:cfRule type="dataBar" id="{B03C6F3E-81D0-4826-858B-4A1B218EC003}">
            <x14:dataBar minLength="0" maxLength="100" negativeBarColorSameAsPositive="1" axisPosition="none">
              <x14:cfvo type="min"/>
              <x14:cfvo type="max"/>
            </x14:dataBar>
          </x14:cfRule>
          <xm:sqref>E13:E14</xm:sqref>
        </x14:conditionalFormatting>
        <x14:conditionalFormatting xmlns:xm="http://schemas.microsoft.com/office/excel/2006/main">
          <x14:cfRule type="dataBar" id="{3AAC5075-71E1-43BC-B9D8-967491ED50F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E11</xm:sqref>
        </x14:conditionalFormatting>
        <x14:conditionalFormatting xmlns:xm="http://schemas.microsoft.com/office/excel/2006/main">
          <x14:cfRule type="dataBar" id="{085E6C89-4E73-4EA6-8A41-A371C366A2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V52:V53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zoomScaleNormal="100" workbookViewId="0">
      <selection activeCell="L4" sqref="L4"/>
    </sheetView>
  </sheetViews>
  <sheetFormatPr defaultRowHeight="12.75"/>
  <cols>
    <col min="1" max="1" width="4.7109375" customWidth="1"/>
    <col min="2" max="2" width="4.5703125" customWidth="1"/>
    <col min="3" max="3" width="9.140625" customWidth="1"/>
    <col min="11" max="11" width="15.7109375" customWidth="1"/>
    <col min="12" max="12" width="11.28515625" bestFit="1" customWidth="1"/>
    <col min="13" max="13" width="3.28515625" customWidth="1"/>
    <col min="14" max="14" width="6.140625" customWidth="1"/>
    <col min="16" max="16" width="26.28515625" customWidth="1"/>
    <col min="17" max="17" width="15.42578125" customWidth="1"/>
    <col min="18" max="18" width="5.7109375" customWidth="1"/>
    <col min="19" max="22" width="9.140625" customWidth="1"/>
    <col min="28" max="28" width="12" customWidth="1"/>
  </cols>
  <sheetData>
    <row r="1" spans="1:17">
      <c r="A1" s="488"/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</row>
    <row r="2" spans="1:17" ht="17.25" customHeight="1">
      <c r="A2" s="489" t="s">
        <v>179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</row>
    <row r="3" spans="1:17">
      <c r="A3" s="490"/>
      <c r="B3" s="490"/>
      <c r="C3" s="490"/>
      <c r="D3" s="490"/>
      <c r="E3" s="490"/>
      <c r="F3" s="490"/>
      <c r="G3" s="490"/>
      <c r="H3" s="490"/>
      <c r="I3" s="4"/>
      <c r="J3" s="4"/>
      <c r="K3" s="4"/>
    </row>
    <row r="4" spans="1:17">
      <c r="A4" s="490"/>
      <c r="B4" s="490"/>
      <c r="C4" s="490"/>
      <c r="D4" s="490"/>
      <c r="E4" s="490"/>
      <c r="F4" s="490"/>
      <c r="G4" s="490"/>
      <c r="H4" s="491"/>
      <c r="I4" s="4"/>
      <c r="J4" s="4"/>
      <c r="K4" s="4"/>
    </row>
    <row r="5" spans="1:17">
      <c r="A5" s="492"/>
      <c r="B5" s="492"/>
      <c r="C5" s="493"/>
      <c r="D5" s="4"/>
      <c r="E5" s="4"/>
      <c r="F5" s="4"/>
      <c r="G5" s="4"/>
      <c r="H5" s="491"/>
      <c r="I5" s="4"/>
      <c r="J5" s="4"/>
      <c r="K5" s="4"/>
    </row>
    <row r="6" spans="1:17" ht="20.25" customHeight="1">
      <c r="A6" s="490"/>
      <c r="B6" s="490"/>
      <c r="C6" s="494"/>
      <c r="D6" s="494"/>
      <c r="E6" s="494"/>
      <c r="F6" s="494" t="s">
        <v>180</v>
      </c>
      <c r="G6" s="491"/>
      <c r="H6" s="491"/>
      <c r="I6" s="4"/>
      <c r="J6" s="4"/>
      <c r="K6" s="4"/>
      <c r="O6" s="495" t="s">
        <v>181</v>
      </c>
      <c r="P6" s="495"/>
      <c r="Q6" s="495"/>
    </row>
    <row r="7" spans="1:17">
      <c r="A7" s="490"/>
      <c r="B7" s="490"/>
      <c r="C7" s="494"/>
      <c r="D7" s="494"/>
      <c r="E7" s="494"/>
      <c r="F7" s="494"/>
      <c r="G7" s="491"/>
      <c r="H7" s="491"/>
      <c r="I7" s="4"/>
      <c r="J7" s="4"/>
      <c r="K7" s="4"/>
    </row>
    <row r="8" spans="1:17">
      <c r="A8" s="491">
        <v>1</v>
      </c>
      <c r="B8" s="496" t="s">
        <v>182</v>
      </c>
      <c r="C8" s="497" t="s">
        <v>183</v>
      </c>
      <c r="D8" s="497"/>
      <c r="E8" s="497"/>
      <c r="F8" s="498"/>
      <c r="G8" s="499" t="s">
        <v>184</v>
      </c>
      <c r="H8" s="500"/>
      <c r="I8" s="500"/>
      <c r="J8" s="498"/>
      <c r="K8" s="4"/>
    </row>
    <row r="9" spans="1:17" ht="24" customHeight="1">
      <c r="A9" s="491">
        <v>2</v>
      </c>
      <c r="B9" s="496" t="s">
        <v>182</v>
      </c>
      <c r="C9" s="494" t="s">
        <v>185</v>
      </c>
      <c r="D9" s="498"/>
      <c r="E9" s="498"/>
      <c r="F9" s="498"/>
      <c r="G9" s="544" t="s">
        <v>186</v>
      </c>
      <c r="H9" s="545"/>
      <c r="I9" s="546"/>
      <c r="J9" s="498"/>
      <c r="K9" s="4"/>
      <c r="M9" s="501"/>
      <c r="N9" s="501"/>
      <c r="O9" s="386" t="s">
        <v>41</v>
      </c>
      <c r="P9" s="386"/>
      <c r="Q9" s="502">
        <v>4.0000000000000001E-3</v>
      </c>
    </row>
    <row r="10" spans="1:17" ht="18">
      <c r="A10" s="491"/>
      <c r="B10" s="491" t="s">
        <v>187</v>
      </c>
      <c r="C10" s="498" t="s">
        <v>17</v>
      </c>
      <c r="D10" s="498"/>
      <c r="E10" s="498"/>
      <c r="F10" s="491" t="s">
        <v>188</v>
      </c>
      <c r="G10" s="543">
        <v>0</v>
      </c>
      <c r="H10" s="491" t="s">
        <v>189</v>
      </c>
      <c r="I10" s="543">
        <v>20</v>
      </c>
      <c r="J10" s="504" t="s">
        <v>190</v>
      </c>
      <c r="K10" s="505">
        <v>0.70864199999999999</v>
      </c>
      <c r="O10" s="386" t="s">
        <v>42</v>
      </c>
      <c r="P10" s="386"/>
      <c r="Q10" s="502">
        <v>4.0000000000000001E-3</v>
      </c>
    </row>
    <row r="11" spans="1:17" ht="18">
      <c r="A11" s="491"/>
      <c r="B11" s="491" t="s">
        <v>191</v>
      </c>
      <c r="C11" s="498" t="s">
        <v>32</v>
      </c>
      <c r="D11" s="498"/>
      <c r="E11" s="498"/>
      <c r="F11" s="491" t="s">
        <v>188</v>
      </c>
      <c r="G11" s="503">
        <v>20</v>
      </c>
      <c r="H11" s="491" t="s">
        <v>189</v>
      </c>
      <c r="I11" s="503">
        <v>30</v>
      </c>
      <c r="J11" s="504" t="s">
        <v>190</v>
      </c>
      <c r="K11" s="505">
        <v>0.88580199999999998</v>
      </c>
      <c r="N11" s="506"/>
      <c r="O11" s="386" t="s">
        <v>43</v>
      </c>
      <c r="P11" s="386"/>
      <c r="Q11" s="502">
        <v>4.0000000000000001E-3</v>
      </c>
    </row>
    <row r="12" spans="1:17" ht="18">
      <c r="A12" s="491"/>
      <c r="B12" s="491" t="s">
        <v>192</v>
      </c>
      <c r="C12" s="498" t="s">
        <v>33</v>
      </c>
      <c r="D12" s="498"/>
      <c r="E12" s="4"/>
      <c r="F12" s="491" t="s">
        <v>188</v>
      </c>
      <c r="G12" s="503">
        <v>30</v>
      </c>
      <c r="H12" s="491" t="s">
        <v>189</v>
      </c>
      <c r="I12" s="503">
        <v>40</v>
      </c>
      <c r="J12" s="504" t="s">
        <v>190</v>
      </c>
      <c r="K12" s="505">
        <v>1.545728</v>
      </c>
      <c r="O12" s="386" t="s">
        <v>44</v>
      </c>
      <c r="P12" s="386"/>
      <c r="Q12" s="502">
        <v>8.9999999999999993E-3</v>
      </c>
    </row>
    <row r="13" spans="1:17" ht="18">
      <c r="A13" s="491"/>
      <c r="B13" s="491" t="s">
        <v>193</v>
      </c>
      <c r="C13" s="498" t="s">
        <v>34</v>
      </c>
      <c r="D13" s="498"/>
      <c r="E13" s="4"/>
      <c r="F13" s="491" t="s">
        <v>188</v>
      </c>
      <c r="G13" s="503">
        <v>40</v>
      </c>
      <c r="H13" s="491" t="s">
        <v>189</v>
      </c>
      <c r="I13" s="507">
        <v>70</v>
      </c>
      <c r="J13" s="504" t="s">
        <v>190</v>
      </c>
      <c r="K13" s="505">
        <v>2.1812290000000001</v>
      </c>
      <c r="M13" s="501"/>
      <c r="O13" s="291" t="s">
        <v>45</v>
      </c>
      <c r="P13" s="292"/>
      <c r="Q13" s="502">
        <v>8.9999999999999993E-3</v>
      </c>
    </row>
    <row r="14" spans="1:17" ht="18">
      <c r="A14" s="491"/>
      <c r="B14" s="491" t="s">
        <v>194</v>
      </c>
      <c r="C14" s="498" t="s">
        <v>36</v>
      </c>
      <c r="D14" s="498"/>
      <c r="E14" s="4"/>
      <c r="F14" s="491" t="s">
        <v>195</v>
      </c>
      <c r="G14" s="507">
        <v>70</v>
      </c>
      <c r="H14" s="496"/>
      <c r="I14" s="491"/>
      <c r="J14" s="504" t="s">
        <v>190</v>
      </c>
      <c r="K14" s="505">
        <v>2.8701639999999999</v>
      </c>
      <c r="O14" s="376" t="s">
        <v>46</v>
      </c>
      <c r="P14" s="377"/>
      <c r="Q14" s="502">
        <v>8.9999999999999993E-3</v>
      </c>
    </row>
    <row r="15" spans="1:17" ht="14.25">
      <c r="A15" s="491"/>
      <c r="B15" s="491"/>
      <c r="C15" s="498"/>
      <c r="D15" s="498"/>
      <c r="E15" s="491"/>
      <c r="F15" s="496"/>
      <c r="G15" s="508"/>
      <c r="H15" s="496"/>
      <c r="I15" s="491"/>
      <c r="J15" s="508"/>
      <c r="K15" s="4"/>
      <c r="O15" s="376" t="s">
        <v>47</v>
      </c>
      <c r="P15" s="377"/>
      <c r="Q15" s="502">
        <v>1.7899999999999999E-2</v>
      </c>
    </row>
    <row r="16" spans="1:17" ht="14.25">
      <c r="A16" s="491">
        <v>3</v>
      </c>
      <c r="B16" s="496" t="s">
        <v>182</v>
      </c>
      <c r="C16" s="494" t="s">
        <v>196</v>
      </c>
      <c r="D16" s="498"/>
      <c r="E16" s="498"/>
      <c r="F16" s="498"/>
      <c r="G16" s="499" t="s">
        <v>184</v>
      </c>
      <c r="H16" s="500"/>
      <c r="I16" s="500"/>
      <c r="J16" s="498"/>
      <c r="K16" s="4"/>
      <c r="M16" s="501"/>
      <c r="O16" s="376" t="s">
        <v>48</v>
      </c>
      <c r="P16" s="377"/>
      <c r="Q16" s="502">
        <v>1.7899999999999999E-2</v>
      </c>
    </row>
    <row r="17" spans="1:17" ht="18">
      <c r="A17" s="491"/>
      <c r="B17" s="491" t="s">
        <v>187</v>
      </c>
      <c r="C17" s="498" t="s">
        <v>32</v>
      </c>
      <c r="D17" s="498"/>
      <c r="E17" s="498"/>
      <c r="F17" s="491" t="s">
        <v>188</v>
      </c>
      <c r="G17" s="503">
        <v>0</v>
      </c>
      <c r="H17" s="491" t="s">
        <v>189</v>
      </c>
      <c r="I17" s="503">
        <v>30</v>
      </c>
      <c r="J17" s="504" t="s">
        <v>190</v>
      </c>
      <c r="K17" s="509">
        <v>0.83787999999999996</v>
      </c>
      <c r="M17" s="501"/>
      <c r="O17" s="376" t="s">
        <v>67</v>
      </c>
      <c r="P17" s="377"/>
      <c r="Q17" s="502">
        <v>1.7899999999999999E-2</v>
      </c>
    </row>
    <row r="18" spans="1:17" ht="18">
      <c r="A18" s="491"/>
      <c r="B18" s="491" t="s">
        <v>191</v>
      </c>
      <c r="C18" s="498" t="s">
        <v>33</v>
      </c>
      <c r="D18" s="498"/>
      <c r="E18" s="498"/>
      <c r="F18" s="491" t="s">
        <v>188</v>
      </c>
      <c r="G18" s="503">
        <v>30</v>
      </c>
      <c r="H18" s="491" t="s">
        <v>189</v>
      </c>
      <c r="I18" s="503">
        <v>60</v>
      </c>
      <c r="J18" s="504" t="s">
        <v>190</v>
      </c>
      <c r="K18" s="509">
        <v>1.6757599999999999</v>
      </c>
      <c r="M18" s="501"/>
      <c r="O18" s="291" t="s">
        <v>49</v>
      </c>
      <c r="P18" s="292"/>
      <c r="Q18" s="502">
        <v>4.0000000000000001E-3</v>
      </c>
    </row>
    <row r="19" spans="1:17" ht="18">
      <c r="A19" s="491"/>
      <c r="B19" s="491" t="s">
        <v>192</v>
      </c>
      <c r="C19" s="498" t="s">
        <v>34</v>
      </c>
      <c r="D19" s="498"/>
      <c r="E19" s="4"/>
      <c r="F19" s="491" t="s">
        <v>188</v>
      </c>
      <c r="G19" s="503">
        <v>60</v>
      </c>
      <c r="H19" s="491" t="s">
        <v>189</v>
      </c>
      <c r="I19" s="503">
        <v>90</v>
      </c>
      <c r="J19" s="504" t="s">
        <v>190</v>
      </c>
      <c r="K19" s="509">
        <v>2.3041700000000001</v>
      </c>
      <c r="M19" s="501"/>
      <c r="O19" s="291" t="s">
        <v>50</v>
      </c>
      <c r="P19" s="292"/>
      <c r="Q19" s="502">
        <v>4.0000000000000001E-3</v>
      </c>
    </row>
    <row r="20" spans="1:17" ht="18">
      <c r="A20" s="491"/>
      <c r="B20" s="491" t="s">
        <v>193</v>
      </c>
      <c r="C20" s="498" t="s">
        <v>36</v>
      </c>
      <c r="D20" s="498"/>
      <c r="E20" s="4"/>
      <c r="F20" s="491" t="s">
        <v>195</v>
      </c>
      <c r="G20" s="507">
        <v>90</v>
      </c>
      <c r="H20" s="496"/>
      <c r="I20" s="491"/>
      <c r="J20" s="504" t="s">
        <v>190</v>
      </c>
      <c r="K20" s="509">
        <v>3.3724660000000002</v>
      </c>
      <c r="O20" s="291" t="s">
        <v>51</v>
      </c>
      <c r="P20" s="292"/>
      <c r="Q20" s="502">
        <v>4.0000000000000001E-3</v>
      </c>
    </row>
    <row r="21" spans="1:17">
      <c r="A21" s="491"/>
      <c r="B21" s="491"/>
      <c r="C21" s="498"/>
      <c r="D21" s="498"/>
      <c r="E21" s="491"/>
      <c r="F21" s="496"/>
      <c r="G21" s="508"/>
      <c r="H21" s="496"/>
      <c r="I21" s="491"/>
      <c r="J21" s="508"/>
      <c r="K21" s="4"/>
    </row>
    <row r="22" spans="1:17">
      <c r="A22" s="491">
        <v>4</v>
      </c>
      <c r="B22" s="496" t="s">
        <v>182</v>
      </c>
      <c r="C22" s="494" t="s">
        <v>197</v>
      </c>
      <c r="D22" s="498"/>
      <c r="E22" s="510"/>
      <c r="F22" s="498"/>
      <c r="G22" s="499" t="s">
        <v>184</v>
      </c>
      <c r="H22" s="500"/>
      <c r="I22" s="500"/>
      <c r="J22" s="491"/>
      <c r="K22" s="4"/>
      <c r="M22" s="501"/>
    </row>
    <row r="23" spans="1:17" ht="18">
      <c r="A23" s="491"/>
      <c r="B23" s="491" t="s">
        <v>187</v>
      </c>
      <c r="C23" s="498" t="s">
        <v>32</v>
      </c>
      <c r="D23" s="498"/>
      <c r="E23" s="4"/>
      <c r="F23" s="491" t="s">
        <v>188</v>
      </c>
      <c r="G23" s="503">
        <v>0</v>
      </c>
      <c r="H23" s="491" t="s">
        <v>189</v>
      </c>
      <c r="I23" s="507">
        <v>73</v>
      </c>
      <c r="J23" s="504" t="s">
        <v>190</v>
      </c>
      <c r="K23" s="509">
        <v>1.0422229999999999</v>
      </c>
      <c r="M23" s="501"/>
    </row>
    <row r="24" spans="1:17" ht="18">
      <c r="A24" s="491"/>
      <c r="B24" s="491" t="s">
        <v>191</v>
      </c>
      <c r="C24" s="498" t="s">
        <v>33</v>
      </c>
      <c r="D24" s="498"/>
      <c r="E24" s="491"/>
      <c r="F24" s="491" t="s">
        <v>188</v>
      </c>
      <c r="G24" s="507">
        <v>73</v>
      </c>
      <c r="H24" s="491" t="s">
        <v>189</v>
      </c>
      <c r="I24" s="507">
        <v>110</v>
      </c>
      <c r="J24" s="504" t="s">
        <v>190</v>
      </c>
      <c r="K24" s="509">
        <v>1.71468</v>
      </c>
    </row>
    <row r="25" spans="1:17" ht="18">
      <c r="A25" s="491"/>
      <c r="B25" s="491" t="s">
        <v>192</v>
      </c>
      <c r="C25" s="498" t="s">
        <v>34</v>
      </c>
      <c r="D25" s="498"/>
      <c r="E25" s="491"/>
      <c r="F25" s="491" t="s">
        <v>188</v>
      </c>
      <c r="G25" s="507">
        <v>110</v>
      </c>
      <c r="H25" s="491" t="s">
        <v>189</v>
      </c>
      <c r="I25" s="507">
        <v>146</v>
      </c>
      <c r="J25" s="504" t="s">
        <v>190</v>
      </c>
      <c r="K25" s="509">
        <v>2.5664009999999999</v>
      </c>
    </row>
    <row r="26" spans="1:17" ht="18">
      <c r="A26" s="491"/>
      <c r="B26" s="491" t="s">
        <v>193</v>
      </c>
      <c r="C26" s="498" t="s">
        <v>36</v>
      </c>
      <c r="D26" s="498"/>
      <c r="E26" s="491"/>
      <c r="F26" s="491" t="s">
        <v>195</v>
      </c>
      <c r="G26" s="507">
        <v>147</v>
      </c>
      <c r="H26" s="496"/>
      <c r="I26" s="491"/>
      <c r="J26" s="504" t="s">
        <v>190</v>
      </c>
      <c r="K26" s="509">
        <v>3.1478359999999999</v>
      </c>
      <c r="M26" s="501"/>
    </row>
    <row r="27" spans="1:17">
      <c r="A27" s="491"/>
      <c r="B27" s="491"/>
      <c r="C27" s="498"/>
      <c r="D27" s="498"/>
      <c r="E27" s="491"/>
      <c r="F27" s="498"/>
      <c r="G27" s="498"/>
      <c r="H27" s="498"/>
      <c r="I27" s="491"/>
      <c r="J27" s="508"/>
      <c r="K27" s="4"/>
      <c r="M27" s="501"/>
    </row>
    <row r="28" spans="1:17">
      <c r="A28" s="491">
        <v>5</v>
      </c>
      <c r="B28" s="496" t="s">
        <v>182</v>
      </c>
      <c r="C28" s="494" t="s">
        <v>198</v>
      </c>
      <c r="D28" s="498"/>
      <c r="E28" s="498"/>
      <c r="F28" s="498"/>
      <c r="G28" s="499" t="s">
        <v>184</v>
      </c>
      <c r="H28" s="500"/>
      <c r="I28" s="500"/>
      <c r="J28" s="491"/>
      <c r="K28" s="4"/>
    </row>
    <row r="29" spans="1:17" ht="18">
      <c r="A29" s="491"/>
      <c r="B29" s="491" t="s">
        <v>187</v>
      </c>
      <c r="C29" s="498" t="s">
        <v>32</v>
      </c>
      <c r="D29" s="498"/>
      <c r="E29" s="4"/>
      <c r="F29" s="491" t="s">
        <v>188</v>
      </c>
      <c r="G29" s="507">
        <v>0</v>
      </c>
      <c r="H29" s="491" t="s">
        <v>189</v>
      </c>
      <c r="I29" s="507">
        <v>73</v>
      </c>
      <c r="J29" s="504" t="s">
        <v>190</v>
      </c>
      <c r="K29" s="509">
        <v>1.3508370000000001</v>
      </c>
    </row>
    <row r="30" spans="1:17" ht="18">
      <c r="A30" s="491"/>
      <c r="B30" s="491" t="s">
        <v>191</v>
      </c>
      <c r="C30" s="498" t="s">
        <v>33</v>
      </c>
      <c r="D30" s="498"/>
      <c r="E30" s="491"/>
      <c r="F30" s="491" t="s">
        <v>195</v>
      </c>
      <c r="G30" s="507">
        <v>73</v>
      </c>
      <c r="H30" s="496"/>
      <c r="I30" s="4"/>
      <c r="J30" s="504" t="s">
        <v>190</v>
      </c>
      <c r="K30" s="509">
        <v>1.7942119999999999</v>
      </c>
      <c r="M30" s="501"/>
    </row>
    <row r="31" spans="1:17">
      <c r="A31" s="491"/>
      <c r="B31" s="491"/>
      <c r="C31" s="498"/>
      <c r="D31" s="498"/>
      <c r="E31" s="491"/>
      <c r="F31" s="4"/>
      <c r="G31" s="4"/>
      <c r="H31" s="4"/>
      <c r="I31" s="4"/>
      <c r="J31" s="508"/>
      <c r="K31" s="4"/>
    </row>
    <row r="32" spans="1:17">
      <c r="A32" s="491">
        <v>6</v>
      </c>
      <c r="B32" s="496" t="s">
        <v>182</v>
      </c>
      <c r="C32" s="494" t="s">
        <v>199</v>
      </c>
      <c r="D32" s="498"/>
      <c r="E32" s="498"/>
      <c r="F32" s="498"/>
      <c r="G32" s="499" t="s">
        <v>184</v>
      </c>
      <c r="H32" s="500"/>
      <c r="I32" s="500"/>
      <c r="J32" s="491"/>
      <c r="K32" s="4"/>
    </row>
    <row r="33" spans="1:13" ht="18">
      <c r="A33" s="491"/>
      <c r="B33" s="491" t="s">
        <v>187</v>
      </c>
      <c r="C33" s="498" t="s">
        <v>32</v>
      </c>
      <c r="D33" s="498"/>
      <c r="E33" s="4"/>
      <c r="F33" s="491" t="s">
        <v>188</v>
      </c>
      <c r="G33" s="507">
        <v>0</v>
      </c>
      <c r="H33" s="491" t="s">
        <v>189</v>
      </c>
      <c r="I33" s="507">
        <v>365</v>
      </c>
      <c r="J33" s="504" t="s">
        <v>190</v>
      </c>
      <c r="K33" s="509">
        <v>1.3508370000000001</v>
      </c>
      <c r="M33" s="511"/>
    </row>
    <row r="34" spans="1:13" ht="18">
      <c r="A34" s="491"/>
      <c r="B34" s="491" t="s">
        <v>191</v>
      </c>
      <c r="C34" s="498" t="s">
        <v>33</v>
      </c>
      <c r="D34" s="498"/>
      <c r="E34" s="491"/>
      <c r="F34" s="491" t="s">
        <v>195</v>
      </c>
      <c r="G34" s="507">
        <v>365</v>
      </c>
      <c r="H34" s="496"/>
      <c r="I34" s="491"/>
      <c r="J34" s="504" t="s">
        <v>190</v>
      </c>
      <c r="K34" s="509">
        <v>1.7942119999999999</v>
      </c>
      <c r="M34" s="511"/>
    </row>
    <row r="35" spans="1:13">
      <c r="A35" s="491"/>
      <c r="B35" s="491"/>
      <c r="C35" s="498"/>
      <c r="D35" s="498"/>
      <c r="E35" s="491"/>
      <c r="F35" s="496"/>
      <c r="G35" s="508"/>
      <c r="H35" s="496"/>
      <c r="I35" s="491"/>
      <c r="J35" s="508"/>
      <c r="K35" s="4"/>
      <c r="M35" s="511"/>
    </row>
    <row r="36" spans="1:13" ht="20.45" customHeight="1">
      <c r="A36" s="491">
        <v>7</v>
      </c>
      <c r="B36" s="496" t="s">
        <v>182</v>
      </c>
      <c r="C36" s="494" t="s">
        <v>200</v>
      </c>
      <c r="D36" s="498"/>
      <c r="E36" s="512"/>
      <c r="F36" s="498"/>
      <c r="G36" s="498"/>
      <c r="H36" s="491"/>
      <c r="I36" s="491"/>
      <c r="J36" s="491"/>
      <c r="K36" s="4"/>
    </row>
    <row r="37" spans="1:13" ht="18">
      <c r="A37" s="491"/>
      <c r="B37" s="491" t="s">
        <v>187</v>
      </c>
      <c r="C37" s="513" t="s">
        <v>201</v>
      </c>
      <c r="D37" s="514"/>
      <c r="E37" s="514"/>
      <c r="F37" s="515"/>
      <c r="G37" s="491"/>
      <c r="H37" s="491"/>
      <c r="I37" s="491"/>
      <c r="J37" s="504" t="s">
        <v>190</v>
      </c>
      <c r="K37" s="509">
        <v>3.975768</v>
      </c>
    </row>
    <row r="38" spans="1:13">
      <c r="A38" s="491"/>
      <c r="B38" s="491"/>
      <c r="C38" s="498"/>
      <c r="D38" s="498"/>
      <c r="E38" s="498"/>
      <c r="F38" s="498"/>
      <c r="G38" s="498"/>
      <c r="H38" s="498"/>
      <c r="I38" s="498"/>
      <c r="J38" s="508"/>
      <c r="K38" s="4"/>
      <c r="M38" s="501"/>
    </row>
    <row r="39" spans="1:13">
      <c r="A39" s="491">
        <v>8</v>
      </c>
      <c r="B39" s="496" t="s">
        <v>182</v>
      </c>
      <c r="C39" s="494" t="s">
        <v>202</v>
      </c>
      <c r="D39" s="508"/>
      <c r="E39" s="508"/>
      <c r="F39" s="491"/>
      <c r="G39" s="491"/>
      <c r="H39" s="491"/>
      <c r="I39" s="491"/>
      <c r="J39" s="491"/>
      <c r="K39" s="4"/>
    </row>
    <row r="40" spans="1:13" ht="18">
      <c r="A40" s="491"/>
      <c r="B40" s="491" t="s">
        <v>187</v>
      </c>
      <c r="C40" s="516" t="s">
        <v>203</v>
      </c>
      <c r="D40" s="517"/>
      <c r="E40" s="517"/>
      <c r="F40" s="518"/>
      <c r="G40" s="491"/>
      <c r="H40" s="491"/>
      <c r="I40" s="491"/>
      <c r="J40" s="504" t="s">
        <v>204</v>
      </c>
      <c r="K40" s="519">
        <v>24.73</v>
      </c>
    </row>
    <row r="41" spans="1:13" ht="18">
      <c r="A41" s="491"/>
      <c r="B41" s="491" t="s">
        <v>191</v>
      </c>
      <c r="C41" s="513" t="s">
        <v>205</v>
      </c>
      <c r="D41" s="514"/>
      <c r="E41" s="514"/>
      <c r="F41" s="515"/>
      <c r="G41" s="491"/>
      <c r="H41" s="491"/>
      <c r="I41" s="491"/>
      <c r="J41" s="504" t="s">
        <v>204</v>
      </c>
      <c r="K41" s="520">
        <v>29.67</v>
      </c>
    </row>
    <row r="42" spans="1:13" ht="18">
      <c r="A42" s="491"/>
      <c r="B42" s="491" t="s">
        <v>192</v>
      </c>
      <c r="C42" s="521" t="s">
        <v>206</v>
      </c>
      <c r="D42" s="514"/>
      <c r="E42" s="514"/>
      <c r="F42" s="515"/>
      <c r="G42" s="491"/>
      <c r="H42" s="491"/>
      <c r="I42" s="491"/>
      <c r="J42" s="504" t="s">
        <v>204</v>
      </c>
      <c r="K42" s="520">
        <v>24.73</v>
      </c>
      <c r="M42" s="511"/>
    </row>
    <row r="43" spans="1:13" ht="18">
      <c r="A43" s="491"/>
      <c r="B43" s="522" t="s">
        <v>193</v>
      </c>
      <c r="C43" s="521" t="s">
        <v>207</v>
      </c>
      <c r="D43" s="514"/>
      <c r="E43" s="514"/>
      <c r="F43" s="515"/>
      <c r="G43" s="491"/>
      <c r="H43" s="491"/>
      <c r="I43" s="491"/>
      <c r="J43" s="504" t="s">
        <v>204</v>
      </c>
      <c r="K43" s="520">
        <v>35.86</v>
      </c>
      <c r="M43" s="511"/>
    </row>
    <row r="44" spans="1:13">
      <c r="A44" s="491"/>
      <c r="B44" s="491"/>
      <c r="C44" s="498"/>
      <c r="D44" s="498"/>
      <c r="E44" s="498"/>
      <c r="F44" s="498"/>
      <c r="G44" s="498"/>
      <c r="H44" s="498"/>
      <c r="I44" s="498"/>
      <c r="J44" s="498"/>
      <c r="K44" s="4"/>
      <c r="M44" s="511"/>
    </row>
    <row r="45" spans="1:13">
      <c r="A45" s="523"/>
      <c r="B45" s="491"/>
      <c r="C45" s="498"/>
      <c r="D45" s="524"/>
      <c r="E45" s="524"/>
      <c r="F45" s="494" t="s">
        <v>208</v>
      </c>
      <c r="G45" s="524"/>
      <c r="H45" s="524"/>
      <c r="I45" s="524"/>
      <c r="J45" s="4"/>
      <c r="K45" s="4"/>
      <c r="M45" s="511"/>
    </row>
    <row r="46" spans="1:13" ht="18">
      <c r="A46" s="523">
        <v>9</v>
      </c>
      <c r="B46" s="525" t="s">
        <v>182</v>
      </c>
      <c r="C46" s="526" t="s">
        <v>209</v>
      </c>
      <c r="D46" s="527"/>
      <c r="E46" s="527"/>
      <c r="F46" s="527"/>
      <c r="G46" s="500"/>
      <c r="H46" s="500"/>
      <c r="I46" s="500"/>
      <c r="J46" s="504" t="s">
        <v>190</v>
      </c>
      <c r="K46" s="528">
        <v>0.20144100000000001</v>
      </c>
      <c r="M46" s="511"/>
    </row>
    <row r="47" spans="1:13" ht="18">
      <c r="A47" s="523">
        <v>10</v>
      </c>
      <c r="B47" s="525" t="s">
        <v>182</v>
      </c>
      <c r="C47" s="494" t="s">
        <v>210</v>
      </c>
      <c r="D47" s="524"/>
      <c r="E47" s="524"/>
      <c r="F47" s="524"/>
      <c r="G47" s="500"/>
      <c r="H47" s="500"/>
      <c r="I47" s="500"/>
      <c r="J47" s="504" t="s">
        <v>190</v>
      </c>
      <c r="K47" s="509">
        <v>0.27941899999999997</v>
      </c>
      <c r="M47" s="511"/>
    </row>
    <row r="48" spans="1:13">
      <c r="A48" s="523"/>
      <c r="B48" s="525"/>
      <c r="C48" s="498"/>
      <c r="D48" s="524"/>
      <c r="E48" s="524"/>
      <c r="F48" s="524"/>
      <c r="G48" s="500"/>
      <c r="H48" s="500"/>
      <c r="I48" s="500"/>
      <c r="J48" s="508"/>
      <c r="K48" s="529"/>
    </row>
    <row r="49" spans="1:13">
      <c r="A49" s="523">
        <v>11</v>
      </c>
      <c r="B49" s="530" t="s">
        <v>182</v>
      </c>
      <c r="C49" s="531" t="s">
        <v>202</v>
      </c>
      <c r="D49" s="4"/>
      <c r="E49" s="524"/>
      <c r="F49" s="524"/>
      <c r="G49" s="500"/>
      <c r="H49" s="500"/>
      <c r="I49" s="500"/>
      <c r="J49" s="508"/>
      <c r="K49" s="4"/>
    </row>
    <row r="50" spans="1:13" ht="18">
      <c r="A50" s="523"/>
      <c r="B50" s="491" t="s">
        <v>187</v>
      </c>
      <c r="C50" s="532" t="s">
        <v>203</v>
      </c>
      <c r="D50" s="533"/>
      <c r="E50" s="533"/>
      <c r="F50" s="534"/>
      <c r="G50" s="500"/>
      <c r="H50" s="500"/>
      <c r="I50" s="500"/>
      <c r="J50" s="504" t="s">
        <v>204</v>
      </c>
      <c r="K50" s="535">
        <v>4.68</v>
      </c>
    </row>
    <row r="51" spans="1:13" ht="18">
      <c r="A51" s="523"/>
      <c r="B51" s="491" t="s">
        <v>191</v>
      </c>
      <c r="C51" s="513" t="s">
        <v>205</v>
      </c>
      <c r="D51" s="514"/>
      <c r="E51" s="514"/>
      <c r="F51" s="515"/>
      <c r="G51" s="500"/>
      <c r="H51" s="500"/>
      <c r="I51" s="500"/>
      <c r="J51" s="504" t="s">
        <v>204</v>
      </c>
      <c r="K51" s="520">
        <v>5.61</v>
      </c>
      <c r="M51" s="501"/>
    </row>
    <row r="52" spans="1:13" ht="18">
      <c r="A52" s="523"/>
      <c r="B52" s="491" t="s">
        <v>192</v>
      </c>
      <c r="C52" s="521" t="s">
        <v>206</v>
      </c>
      <c r="D52" s="514"/>
      <c r="E52" s="514"/>
      <c r="F52" s="515"/>
      <c r="G52" s="500"/>
      <c r="H52" s="500"/>
      <c r="I52" s="500"/>
      <c r="J52" s="504" t="s">
        <v>204</v>
      </c>
      <c r="K52" s="520">
        <v>4.68</v>
      </c>
      <c r="M52" s="501"/>
    </row>
    <row r="53" spans="1:13" ht="18">
      <c r="A53" s="523"/>
      <c r="B53" s="522" t="s">
        <v>193</v>
      </c>
      <c r="C53" s="513" t="s">
        <v>210</v>
      </c>
      <c r="D53" s="514"/>
      <c r="E53" s="514"/>
      <c r="F53" s="515"/>
      <c r="G53" s="500"/>
      <c r="H53" s="500"/>
      <c r="I53" s="500"/>
      <c r="J53" s="504"/>
      <c r="K53" s="4"/>
    </row>
    <row r="54" spans="1:13" ht="18">
      <c r="A54" s="523"/>
      <c r="B54" s="525" t="s">
        <v>182</v>
      </c>
      <c r="C54" s="536" t="s">
        <v>211</v>
      </c>
      <c r="D54" s="537"/>
      <c r="E54" s="537"/>
      <c r="F54" s="537"/>
      <c r="G54" s="537"/>
      <c r="H54" s="537"/>
      <c r="I54" s="537"/>
      <c r="J54" s="504" t="s">
        <v>204</v>
      </c>
      <c r="K54" s="538">
        <v>26</v>
      </c>
    </row>
    <row r="55" spans="1:13" ht="17.45" customHeight="1">
      <c r="A55" s="523"/>
      <c r="B55" s="525" t="s">
        <v>182</v>
      </c>
      <c r="C55" s="536" t="s">
        <v>212</v>
      </c>
      <c r="D55" s="500"/>
      <c r="E55" s="500"/>
      <c r="F55" s="500"/>
      <c r="G55" s="500"/>
      <c r="H55" s="500"/>
      <c r="I55" s="500"/>
      <c r="J55" s="504" t="s">
        <v>204</v>
      </c>
      <c r="K55" s="538">
        <v>52</v>
      </c>
    </row>
    <row r="56" spans="1:13" ht="17.45" customHeight="1">
      <c r="A56" s="523"/>
      <c r="B56" s="525" t="s">
        <v>182</v>
      </c>
      <c r="C56" s="536" t="s">
        <v>213</v>
      </c>
      <c r="D56" s="500"/>
      <c r="E56" s="500"/>
      <c r="F56" s="500"/>
      <c r="G56" s="500"/>
      <c r="H56" s="500"/>
      <c r="I56" s="500"/>
      <c r="J56" s="504" t="s">
        <v>204</v>
      </c>
      <c r="K56" s="538">
        <v>269.35000000000002</v>
      </c>
      <c r="M56" s="511"/>
    </row>
    <row r="57" spans="1:13" ht="18">
      <c r="A57" s="523"/>
      <c r="B57" s="525" t="s">
        <v>182</v>
      </c>
      <c r="C57" s="536" t="s">
        <v>214</v>
      </c>
      <c r="D57" s="500"/>
      <c r="E57" s="500"/>
      <c r="F57" s="500"/>
      <c r="G57" s="500"/>
      <c r="H57" s="500"/>
      <c r="I57" s="500"/>
      <c r="J57" s="504" t="s">
        <v>204</v>
      </c>
      <c r="K57" s="538">
        <v>486.7</v>
      </c>
    </row>
    <row r="58" spans="1:13" ht="18">
      <c r="A58" s="523"/>
      <c r="B58" s="525" t="s">
        <v>182</v>
      </c>
      <c r="C58" s="536" t="s">
        <v>215</v>
      </c>
      <c r="D58" s="500"/>
      <c r="E58" s="500"/>
      <c r="F58" s="500"/>
      <c r="G58" s="500"/>
      <c r="H58" s="500"/>
      <c r="I58" s="500"/>
      <c r="J58" s="504" t="s">
        <v>204</v>
      </c>
      <c r="K58" s="538">
        <v>704.05</v>
      </c>
    </row>
    <row r="59" spans="1:13" ht="18">
      <c r="A59" s="523"/>
      <c r="B59" s="491"/>
      <c r="C59" s="536"/>
      <c r="D59" s="500"/>
      <c r="E59" s="500"/>
      <c r="F59" s="500"/>
      <c r="G59" s="500"/>
      <c r="H59" s="500"/>
      <c r="I59" s="500"/>
      <c r="J59" s="504"/>
      <c r="K59" s="4"/>
    </row>
    <row r="60" spans="1:13">
      <c r="A60" s="523"/>
      <c r="B60" s="491"/>
      <c r="C60" s="498"/>
      <c r="D60" s="524"/>
      <c r="E60" s="524"/>
      <c r="F60" s="494" t="s">
        <v>216</v>
      </c>
      <c r="G60" s="524"/>
      <c r="H60" s="524"/>
      <c r="I60" s="524"/>
      <c r="J60" s="508"/>
      <c r="K60" s="4"/>
    </row>
    <row r="61" spans="1:13" ht="18">
      <c r="A61" s="523">
        <v>12</v>
      </c>
      <c r="B61" s="525" t="s">
        <v>182</v>
      </c>
      <c r="C61" s="539" t="s">
        <v>217</v>
      </c>
      <c r="D61" s="540"/>
      <c r="E61" s="540"/>
      <c r="F61" s="540"/>
      <c r="G61" s="500"/>
      <c r="H61" s="500"/>
      <c r="I61" s="500"/>
      <c r="J61" s="504" t="s">
        <v>190</v>
      </c>
      <c r="K61" s="541">
        <v>0.58150400000000002</v>
      </c>
    </row>
    <row r="62" spans="1:13" ht="18">
      <c r="A62" s="523">
        <v>13</v>
      </c>
      <c r="B62" s="525" t="s">
        <v>182</v>
      </c>
      <c r="C62" s="494" t="s">
        <v>218</v>
      </c>
      <c r="D62" s="524"/>
      <c r="E62" s="524"/>
      <c r="F62" s="524"/>
      <c r="G62" s="500"/>
      <c r="H62" s="500"/>
      <c r="I62" s="500"/>
      <c r="J62" s="504" t="s">
        <v>219</v>
      </c>
      <c r="K62" s="509">
        <v>0.235323</v>
      </c>
    </row>
    <row r="63" spans="1:13">
      <c r="A63" s="492"/>
      <c r="B63" s="492"/>
      <c r="C63" s="493"/>
      <c r="D63" s="4"/>
      <c r="E63" s="4"/>
      <c r="F63" s="4"/>
      <c r="G63" s="4"/>
      <c r="H63" s="4"/>
      <c r="I63" s="4"/>
      <c r="J63" s="4"/>
      <c r="K63" s="4"/>
    </row>
    <row r="64" spans="1:13">
      <c r="A64" s="492">
        <v>14</v>
      </c>
      <c r="B64" s="525" t="s">
        <v>182</v>
      </c>
      <c r="C64" s="531" t="s">
        <v>202</v>
      </c>
      <c r="D64" s="4"/>
      <c r="E64" s="4"/>
      <c r="F64" s="4"/>
      <c r="G64" s="4"/>
      <c r="H64" s="4"/>
      <c r="I64" s="4"/>
      <c r="J64" s="4"/>
      <c r="K64" s="4"/>
    </row>
    <row r="65" spans="1:28" ht="18">
      <c r="A65" s="492"/>
      <c r="B65" s="491" t="s">
        <v>187</v>
      </c>
      <c r="C65" s="532" t="s">
        <v>203</v>
      </c>
      <c r="D65" s="533"/>
      <c r="E65" s="533"/>
      <c r="F65" s="534"/>
      <c r="G65" s="4"/>
      <c r="H65" s="4"/>
      <c r="I65" s="4"/>
      <c r="J65" s="504" t="s">
        <v>204</v>
      </c>
      <c r="K65" s="542">
        <v>13.47</v>
      </c>
    </row>
    <row r="66" spans="1:28" ht="18">
      <c r="A66" s="492"/>
      <c r="B66" s="491" t="s">
        <v>191</v>
      </c>
      <c r="C66" s="513" t="s">
        <v>205</v>
      </c>
      <c r="D66" s="514"/>
      <c r="E66" s="514"/>
      <c r="F66" s="515"/>
      <c r="G66" s="4"/>
      <c r="H66" s="4"/>
      <c r="I66" s="4"/>
      <c r="J66" s="504"/>
      <c r="K66" s="538">
        <v>16.16</v>
      </c>
    </row>
    <row r="67" spans="1:28" ht="18">
      <c r="A67" s="492"/>
      <c r="B67" s="491" t="s">
        <v>192</v>
      </c>
      <c r="C67" s="521" t="s">
        <v>206</v>
      </c>
      <c r="D67" s="514"/>
      <c r="E67" s="514"/>
      <c r="F67" s="515"/>
      <c r="G67" s="4"/>
      <c r="H67" s="4"/>
      <c r="I67" s="4"/>
      <c r="J67" s="504"/>
      <c r="K67" s="538">
        <v>13.47</v>
      </c>
    </row>
    <row r="68" spans="1:28" ht="18">
      <c r="A68" s="492"/>
      <c r="B68" s="522" t="s">
        <v>193</v>
      </c>
      <c r="C68" s="513" t="s">
        <v>220</v>
      </c>
      <c r="D68" s="514"/>
      <c r="E68" s="514"/>
      <c r="F68" s="515"/>
      <c r="G68" s="4"/>
      <c r="H68" s="4"/>
      <c r="I68" s="4"/>
      <c r="J68" s="504" t="s">
        <v>221</v>
      </c>
      <c r="K68" s="509">
        <v>1.7699999999999999E-4</v>
      </c>
    </row>
    <row r="69" spans="1:28">
      <c r="R69" s="492"/>
      <c r="S69" s="492"/>
      <c r="T69" s="493"/>
      <c r="U69" s="4"/>
      <c r="V69" s="4"/>
      <c r="W69" s="4"/>
      <c r="X69" s="4"/>
      <c r="Y69" s="4"/>
      <c r="Z69" s="4"/>
      <c r="AA69" s="4"/>
      <c r="AB69" s="4"/>
    </row>
  </sheetData>
  <mergeCells count="18">
    <mergeCell ref="O17:P17"/>
    <mergeCell ref="O18:P18"/>
    <mergeCell ref="O19:P19"/>
    <mergeCell ref="O20:P20"/>
    <mergeCell ref="C40:F40"/>
    <mergeCell ref="G9:I9"/>
    <mergeCell ref="O11:P11"/>
    <mergeCell ref="O12:P12"/>
    <mergeCell ref="O13:P13"/>
    <mergeCell ref="O14:P14"/>
    <mergeCell ref="O15:P15"/>
    <mergeCell ref="O16:P16"/>
    <mergeCell ref="A1:L1"/>
    <mergeCell ref="A2:K2"/>
    <mergeCell ref="O6:Q6"/>
    <mergeCell ref="C8:E8"/>
    <mergeCell ref="O9:P9"/>
    <mergeCell ref="O10:P10"/>
  </mergeCells>
  <pageMargins left="0.59055118110236227" right="0.59055118110236227" top="0.39370078740157483" bottom="0.39370078740157483" header="0.51181102362204722" footer="0.5118110236220472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17</vt:i4>
      </vt:variant>
    </vt:vector>
  </HeadingPairs>
  <TitlesOfParts>
    <vt:vector size="20" baseType="lpstr">
      <vt:lpstr>L'Acqua AQP</vt:lpstr>
      <vt:lpstr>RipartizioneAcqua (1° Trim) </vt:lpstr>
      <vt:lpstr>Tariffe 2022-2023</vt:lpstr>
      <vt:lpstr>'L''Acqua AQP'!Area_stampa</vt:lpstr>
      <vt:lpstr>'RipartizioneAcqua (1° Trim) '!Area_stampa</vt:lpstr>
      <vt:lpstr>'RipartizioneAcqua (1° Trim) '!Clienti</vt:lpstr>
      <vt:lpstr>'RipartizioneAcqua (1° Trim) '!Condomini</vt:lpstr>
      <vt:lpstr>'RipartizioneAcqua (1° Trim) '!ConsumoAqp</vt:lpstr>
      <vt:lpstr>'RipartizioneAcqua (1° Trim) '!ConsumoTotaleAccertato</vt:lpstr>
      <vt:lpstr>'RipartizioneAcqua (1° Trim) '!DataLettura</vt:lpstr>
      <vt:lpstr>'RipartizioneAcqua (1° Trim) '!DataLetturaPrecedente</vt:lpstr>
      <vt:lpstr>'RipartizioneAcqua (1° Trim) '!GiorniAqp</vt:lpstr>
      <vt:lpstr>'RipartizioneAcqua (1° Trim) '!Lettura</vt:lpstr>
      <vt:lpstr>'RipartizioneAcqua (1° Trim) '!LetturaPrecedente</vt:lpstr>
      <vt:lpstr>'RipartizioneAcqua (1° Trim) '!Nclienti</vt:lpstr>
      <vt:lpstr>'RipartizioneAcqua (1° Trim) '!TariffaAgevolata</vt:lpstr>
      <vt:lpstr>'RipartizioneAcqua (1° Trim) '!TariffaBase</vt:lpstr>
      <vt:lpstr>'RipartizioneAcqua (1° Trim) '!TariffaBaseMedia</vt:lpstr>
      <vt:lpstr>'RipartizioneAcqua (1° Trim) '!TariffaEccedenza</vt:lpstr>
      <vt:lpstr>'RipartizioneAcqua (1° Trim) '!TariffaEccedenza3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</dc:creator>
  <cp:lastModifiedBy>utente</cp:lastModifiedBy>
  <cp:lastPrinted>2022-11-06T11:26:36Z</cp:lastPrinted>
  <dcterms:created xsi:type="dcterms:W3CDTF">2021-04-08T14:48:53Z</dcterms:created>
  <dcterms:modified xsi:type="dcterms:W3CDTF">2022-11-07T14:55:37Z</dcterms:modified>
</cp:coreProperties>
</file>